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8340" activeTab="0"/>
  </bookViews>
  <sheets>
    <sheet name="BIABacus PR 1.3U" sheetId="1" r:id="rId1"/>
    <sheet name="Unit Conversion" sheetId="2" r:id="rId2"/>
    <sheet name="Recipe Report" sheetId="3" r:id="rId3"/>
    <sheet name="Print Checklist" sheetId="4" r:id="rId4"/>
    <sheet name="Chalk Board" sheetId="5" r:id="rId5"/>
  </sheets>
  <definedNames>
    <definedName name="B2y2">'BIABacus PR 1.3U'!$B$22</definedName>
    <definedName name="_xlnm.Print_Area" localSheetId="3">'Print Checklist'!$A$1:$AJ$115</definedName>
    <definedName name="_xlnm.Print_Area" localSheetId="2">'Recipe Report'!$A$1:$A$116</definedName>
  </definedNames>
  <calcPr fullCalcOnLoad="1"/>
</workbook>
</file>

<file path=xl/sharedStrings.xml><?xml version="1.0" encoding="utf-8"?>
<sst xmlns="http://schemas.openxmlformats.org/spreadsheetml/2006/main" count="978" uniqueCount="399">
  <si>
    <t>cm</t>
  </si>
  <si>
    <t>=</t>
  </si>
  <si>
    <t>Recipe Name:</t>
  </si>
  <si>
    <t>Style:</t>
  </si>
  <si>
    <t>Volume into Fermentor (VIF):</t>
  </si>
  <si>
    <t>L</t>
  </si>
  <si>
    <t>Litres</t>
  </si>
  <si>
    <t>Gal</t>
  </si>
  <si>
    <t>A. Recipe Overview</t>
  </si>
  <si>
    <t>%</t>
  </si>
  <si>
    <t>Pounds</t>
  </si>
  <si>
    <t>Grams</t>
  </si>
  <si>
    <t>EBC</t>
  </si>
  <si>
    <t>SRM</t>
  </si>
  <si>
    <t>Grain Name</t>
  </si>
  <si>
    <t>Totals</t>
  </si>
  <si>
    <t>AA%</t>
  </si>
  <si>
    <t>Mins</t>
  </si>
  <si>
    <t>Ounces</t>
  </si>
  <si>
    <t>Mash Volume:</t>
  </si>
  <si>
    <t>Volume into Packaging (VIP):</t>
  </si>
  <si>
    <t>Total Water Needed (TWN):</t>
  </si>
  <si>
    <t>Kettle Height:</t>
  </si>
  <si>
    <t>Kettle Diameter:</t>
  </si>
  <si>
    <t>Kettle Capacity:</t>
  </si>
  <si>
    <t>in</t>
  </si>
  <si>
    <t>Actual</t>
  </si>
  <si>
    <t>Estimated</t>
  </si>
  <si>
    <t>Water Added During Boil:</t>
  </si>
  <si>
    <t>Water Held Back from Mash:</t>
  </si>
  <si>
    <t>Water Added to Fermentor:</t>
  </si>
  <si>
    <t>mins at</t>
  </si>
  <si>
    <t>C =</t>
  </si>
  <si>
    <t>F</t>
  </si>
  <si>
    <t>Yeast:</t>
  </si>
  <si>
    <t>for</t>
  </si>
  <si>
    <t>days at</t>
  </si>
  <si>
    <t>B. Your Equipment</t>
  </si>
  <si>
    <t>Aroma:</t>
  </si>
  <si>
    <t>/12</t>
  </si>
  <si>
    <t>Appearance:</t>
  </si>
  <si>
    <t>/3</t>
  </si>
  <si>
    <t>Flavour:</t>
  </si>
  <si>
    <t>Mouthfeel:</t>
  </si>
  <si>
    <t>Overall:</t>
  </si>
  <si>
    <t>/20</t>
  </si>
  <si>
    <t>/5</t>
  </si>
  <si>
    <t>/10</t>
  </si>
  <si>
    <t>Total:</t>
  </si>
  <si>
    <t>/50</t>
  </si>
  <si>
    <t>in =</t>
  </si>
  <si>
    <t>G</t>
  </si>
  <si>
    <t>Evaporation:</t>
  </si>
  <si>
    <t>min</t>
  </si>
  <si>
    <t>G =</t>
  </si>
  <si>
    <t>oz =</t>
  </si>
  <si>
    <t>g</t>
  </si>
  <si>
    <t>C</t>
  </si>
  <si>
    <t>lb =</t>
  </si>
  <si>
    <t>F =</t>
  </si>
  <si>
    <t>Water Used in a Sparge:</t>
  </si>
  <si>
    <t>grams =</t>
  </si>
  <si>
    <t>DME Added to Fermentor:</t>
  </si>
  <si>
    <t>Volume at Pitching (VAP):</t>
  </si>
  <si>
    <t>Bottle Capacity:</t>
  </si>
  <si>
    <t>ml</t>
  </si>
  <si>
    <t>ml =</t>
  </si>
  <si>
    <t>oz</t>
  </si>
  <si>
    <t>Req. Volumes of CO2:</t>
  </si>
  <si>
    <t>Bulk Prime with</t>
  </si>
  <si>
    <t>ounces of corn sugar.</t>
  </si>
  <si>
    <t>grams or</t>
  </si>
  <si>
    <t>Per bottle use</t>
  </si>
  <si>
    <t>Brewer:</t>
  </si>
  <si>
    <t>cm =</t>
  </si>
  <si>
    <t>L =</t>
  </si>
  <si>
    <t>kg</t>
  </si>
  <si>
    <t>kg =</t>
  </si>
  <si>
    <t>lb</t>
  </si>
  <si>
    <t>g =</t>
  </si>
  <si>
    <t>FGDB</t>
  </si>
  <si>
    <t>MC</t>
  </si>
  <si>
    <t>FGAI</t>
  </si>
  <si>
    <t>ppg</t>
  </si>
  <si>
    <t>Totals:</t>
  </si>
  <si>
    <t>BREW DAY TO PACKAGING</t>
  </si>
  <si>
    <t>Bitterness to Gravity Ratio:</t>
  </si>
  <si>
    <t>(Internal Diameter)</t>
  </si>
  <si>
    <t>(Centre Internal Height)</t>
  </si>
  <si>
    <t>ADJUSTMENTS AND TOOLS</t>
  </si>
  <si>
    <r>
      <t>Desired Volume into Fermentor (VIF)</t>
    </r>
    <r>
      <rPr>
        <b/>
        <sz val="8"/>
        <color indexed="8"/>
        <rFont val="Calibri"/>
        <family val="2"/>
      </rPr>
      <t>:</t>
    </r>
  </si>
  <si>
    <t>?</t>
  </si>
  <si>
    <t>ozs</t>
  </si>
  <si>
    <t>Colour:</t>
  </si>
  <si>
    <t>Any "Adjustments" Below will Change your Estimates</t>
  </si>
  <si>
    <t>ABV:</t>
  </si>
  <si>
    <t>Batch Number:</t>
  </si>
  <si>
    <t>Serving Temp:</t>
  </si>
  <si>
    <t>Nat. Prime with</t>
  </si>
  <si>
    <t>psi</t>
  </si>
  <si>
    <t>Vol. into Keg:</t>
  </si>
  <si>
    <t>kpa</t>
  </si>
  <si>
    <t>kpa =</t>
  </si>
  <si>
    <t>psi =</t>
  </si>
  <si>
    <t>Task Description</t>
  </si>
  <si>
    <t>Extra Water Added to Fermentor:</t>
  </si>
  <si>
    <t>Col:</t>
  </si>
  <si>
    <r>
      <t xml:space="preserve">All estimates assume dilutions below </t>
    </r>
    <r>
      <rPr>
        <b/>
        <i/>
        <u val="single"/>
        <sz val="11"/>
        <color indexed="8"/>
        <rFont val="Calibri"/>
        <family val="2"/>
      </rPr>
      <t>will</t>
    </r>
    <r>
      <rPr>
        <b/>
        <sz val="11"/>
        <color indexed="8"/>
        <rFont val="Calibri"/>
        <family val="2"/>
      </rPr>
      <t xml:space="preserve"> be made so be careful!</t>
    </r>
  </si>
  <si>
    <t>B/G Ratio:</t>
  </si>
  <si>
    <t>Actual:</t>
  </si>
  <si>
    <t>Expected Original Gravity (OG):</t>
  </si>
  <si>
    <t>Est. Final Gravity (FG):</t>
  </si>
  <si>
    <t>The BIABacus</t>
  </si>
  <si>
    <t>This spreadsheet may be shared in the brewing community providing the distributor or user only make changes to input fields.</t>
  </si>
  <si>
    <t>Home of BIAB - All-Grain Brewing in A Bag</t>
  </si>
  <si>
    <t>Great Beer... It's in the bag!</t>
  </si>
  <si>
    <t>Tinseth</t>
  </si>
  <si>
    <t>IBU (Tins):</t>
  </si>
  <si>
    <t>Big:</t>
  </si>
  <si>
    <t xml:space="preserve">Diacetyl Rest for </t>
  </si>
  <si>
    <t>If grain is</t>
  </si>
  <si>
    <t xml:space="preserve">Change Evaporation Rate to: </t>
  </si>
  <si>
    <t>or</t>
  </si>
  <si>
    <t>gal/hr</t>
  </si>
  <si>
    <t>l/hr</t>
  </si>
  <si>
    <r>
      <rPr>
        <b/>
        <i/>
        <u val="single"/>
        <sz val="11"/>
        <color indexed="8"/>
        <rFont val="Calibri"/>
        <family val="2"/>
      </rPr>
      <t>or</t>
    </r>
    <r>
      <rPr>
        <sz val="11"/>
        <color theme="1"/>
        <rFont val="Calibri"/>
        <family val="2"/>
      </rPr>
      <t xml:space="preserve"> set it to</t>
    </r>
  </si>
  <si>
    <t xml:space="preserve">Boil for: </t>
  </si>
  <si>
    <t>Time</t>
  </si>
  <si>
    <t>New Bigness Factor</t>
  </si>
  <si>
    <t>Main Categories</t>
  </si>
  <si>
    <t>Main Category Answers</t>
  </si>
  <si>
    <t>Three Sub-Categories</t>
  </si>
  <si>
    <t>Three Sub-Catgory Answers</t>
  </si>
  <si>
    <t>The BIABacus assumes an extract potential on a 'Fine Grind As Is' basis. The default setting for all fermentables is 80% Fine Grind Dry Basis and 4% Moisture Content. This is equivalent to an FGAI of 76.8% or 35.49 ppg. You can over-ride this default below.</t>
  </si>
  <si>
    <t>Points x Pounds</t>
  </si>
  <si>
    <t>l/kg =</t>
  </si>
  <si>
    <t>Brewing Date:</t>
  </si>
  <si>
    <t>Pitching Date:</t>
  </si>
  <si>
    <t>Packaging Date:</t>
  </si>
  <si>
    <r>
      <rPr>
        <sz val="8"/>
        <color indexed="9"/>
        <rFont val="Verdana"/>
        <family val="2"/>
      </rPr>
      <t>from</t>
    </r>
    <r>
      <rPr>
        <sz val="12"/>
        <color indexed="9"/>
        <rFont val="Verdana"/>
        <family val="2"/>
      </rPr>
      <t xml:space="preserve"> www.biabrewer.info</t>
    </r>
  </si>
  <si>
    <t>Kettle to Fermentor Loss (KFL):</t>
  </si>
  <si>
    <t>Fermentor to Packaging Loss (FPL):</t>
  </si>
  <si>
    <t>FG:</t>
  </si>
  <si>
    <t>days</t>
  </si>
  <si>
    <t>months.</t>
  </si>
  <si>
    <t>Consume within</t>
  </si>
  <si>
    <t>A serving of</t>
  </si>
  <si>
    <t>Advanced Mashing Steps</t>
  </si>
  <si>
    <t>Mashout for</t>
  </si>
  <si>
    <r>
      <t xml:space="preserve">then </t>
    </r>
    <r>
      <rPr>
        <b/>
        <sz val="11"/>
        <color indexed="8"/>
        <rFont val="Calibri"/>
        <family val="2"/>
      </rPr>
      <t>strike at</t>
    </r>
  </si>
  <si>
    <t>Ingredient Name</t>
  </si>
  <si>
    <t>Stage</t>
  </si>
  <si>
    <t>Reason</t>
  </si>
  <si>
    <t>Actual Final Gravity:</t>
  </si>
  <si>
    <t>Actual VIP:</t>
  </si>
  <si>
    <t>SG =</t>
  </si>
  <si>
    <t>Plato</t>
  </si>
  <si>
    <t xml:space="preserve">Plato = </t>
  </si>
  <si>
    <t>SG</t>
  </si>
  <si>
    <t>FG</t>
  </si>
  <si>
    <t>Hopsock (Y/N):</t>
  </si>
  <si>
    <t>mins</t>
  </si>
  <si>
    <t>Whirlpool @</t>
  </si>
  <si>
    <t>[Hot] Strike Water Needed (SWN):</t>
  </si>
  <si>
    <t>Substitutions</t>
  </si>
  <si>
    <t>Substituted With</t>
  </si>
  <si>
    <t>Pull @:</t>
  </si>
  <si>
    <t>Water/Air Temp:</t>
  </si>
  <si>
    <t>hours</t>
  </si>
  <si>
    <t>Chilling Time:</t>
  </si>
  <si>
    <t>Employ @</t>
  </si>
  <si>
    <t>Chilling Method:</t>
  </si>
  <si>
    <t>Name, Form &amp; Method</t>
  </si>
  <si>
    <t>.....</t>
  </si>
  <si>
    <t>Real Extract</t>
  </si>
  <si>
    <t>ABW:</t>
  </si>
  <si>
    <t>OG in Plato</t>
  </si>
  <si>
    <t>FG in Plato</t>
  </si>
  <si>
    <t>Apparent Attenuation:</t>
  </si>
  <si>
    <t>Real Attenuation:</t>
  </si>
  <si>
    <t>Bottles Req:</t>
  </si>
  <si>
    <t>Secondary Vol:</t>
  </si>
  <si>
    <t>Carbonate @</t>
  </si>
  <si>
    <t>Bottles Filled:</t>
  </si>
  <si>
    <t xml:space="preserve">floz = </t>
  </si>
  <si>
    <t>floz</t>
  </si>
  <si>
    <t>then a reading of:</t>
  </si>
  <si>
    <t xml:space="preserve">should be recorded as </t>
  </si>
  <si>
    <t>Is equivalent to:</t>
  </si>
  <si>
    <t>Great recipe? If so, post it or comment on it at BIABrewer.info</t>
  </si>
  <si>
    <t xml:space="preserve">but your reading was taken at  </t>
  </si>
  <si>
    <t>Temp Reached:</t>
  </si>
  <si>
    <t>Pitching temperature attained with second chill over</t>
  </si>
  <si>
    <t xml:space="preserve">If your HYDROMETER is calibrated to  </t>
  </si>
  <si>
    <t>Would You Like to Post this Report to a Forum? (Y/N):</t>
  </si>
  <si>
    <t>Would You Like to Print this Report?</t>
  </si>
  <si>
    <t>2. Print the Active Sheet.</t>
  </si>
  <si>
    <t>Would You Like to Edit this Report before Printing?</t>
  </si>
  <si>
    <t>Check</t>
  </si>
  <si>
    <t>Brewed:</t>
  </si>
  <si>
    <t>Pitched:</t>
  </si>
  <si>
    <t>Packed:</t>
  </si>
  <si>
    <t>6. Press Ctrl_V</t>
  </si>
  <si>
    <t>7. Delete any blank or unnecessary parts of the report.</t>
  </si>
  <si>
    <t>8. Submit your post.</t>
  </si>
  <si>
    <t>9. Note: Include the actual BIABAcus file in your post if possible.</t>
  </si>
  <si>
    <t>Would You Like to Print this Checklist?</t>
  </si>
  <si>
    <t>1. Ensure you have entered all your desired checks in the BIABacus Checklist section.</t>
  </si>
  <si>
    <t>Would You Like to Edit this Checklist before Printing?</t>
  </si>
  <si>
    <t>8. Print using the Print command of the word processing program.</t>
  </si>
  <si>
    <t>1. Make sure cell G2 above says, "Y".</t>
  </si>
  <si>
    <t>1. Make sure cell G2 above is blank or says "N".</t>
  </si>
  <si>
    <t>Goodwill Copyright Claim</t>
  </si>
  <si>
    <t>Please see our "goodwill" copyright claim, far bottom left.</t>
  </si>
  <si>
    <t>y</t>
  </si>
  <si>
    <t>% or fix it at</t>
  </si>
  <si>
    <t xml:space="preserve">Adjust KFL by: </t>
  </si>
  <si>
    <t xml:space="preserve">Adjust FPL by: </t>
  </si>
  <si>
    <t>Adjust Volume Loss from Lauter to:</t>
  </si>
  <si>
    <t xml:space="preserve">Kettle Shape Volume Adjustment: </t>
  </si>
  <si>
    <t xml:space="preserve">Kettle Shape Height Adjustment: </t>
  </si>
  <si>
    <t xml:space="preserve">Current Liquor to Grain ratio is: </t>
  </si>
  <si>
    <t>END OF REPORT</t>
  </si>
  <si>
    <t>3. Press SHIFT and then click on the top left cell to highlight the Checklist.</t>
  </si>
  <si>
    <t>4. Press Ctrl_C</t>
  </si>
  <si>
    <t xml:space="preserve">5. Open a word processor such as Microsoft Word, Libre Office Writer or Open Office Writer. </t>
  </si>
  <si>
    <t>8. Add any desired notes.</t>
  </si>
  <si>
    <t>9. Print using the Print command of the word processing program.</t>
  </si>
  <si>
    <t>2. Click on cell above 'END OF REPORT' (far bottom left).</t>
  </si>
  <si>
    <t>3. Press SHIFT and then click on top left cell to highlight the Report.</t>
  </si>
  <si>
    <t>5. Put cursor where you want the report to appear in the post you are writing.</t>
  </si>
  <si>
    <t>Recipe Credits:</t>
  </si>
  <si>
    <t>BIABrewer Link:</t>
  </si>
  <si>
    <t xml:space="preserve">This recipe requires an Original Gravity (OG) of : </t>
  </si>
  <si>
    <t>D. The Hop Bill</t>
  </si>
  <si>
    <t>E. Mashing Instructions</t>
  </si>
  <si>
    <t>F. Miscellaneous</t>
  </si>
  <si>
    <t>What you will  use…</t>
  </si>
  <si>
    <r>
      <rPr>
        <b/>
        <sz val="11"/>
        <color indexed="8"/>
        <rFont val="Calibri"/>
        <family val="2"/>
      </rPr>
      <t>Expected</t>
    </r>
    <r>
      <rPr>
        <sz val="11"/>
        <color theme="1"/>
        <rFont val="Calibri"/>
        <family val="2"/>
      </rPr>
      <t xml:space="preserve"> Original Gravity:</t>
    </r>
  </si>
  <si>
    <t>G. Chilling &amp; Hop Management Methods</t>
  </si>
  <si>
    <t>H. Fermentation &amp; Conditioning</t>
  </si>
  <si>
    <t>I. Special Instructions/Notes on this Beer</t>
  </si>
  <si>
    <t>J. Tasting Notes</t>
  </si>
  <si>
    <t>K. Your Estimated Volumes</t>
  </si>
  <si>
    <t>L. Your Actual Pre-Pitching Volumes</t>
  </si>
  <si>
    <t>M. Your  Pre-Pitching Gravities</t>
  </si>
  <si>
    <t>N. Pre-Pitching Corrections</t>
  </si>
  <si>
    <t>O. At Pitching</t>
  </si>
  <si>
    <t>P. Your Efficiencies</t>
  </si>
  <si>
    <t>Q. Packaging</t>
  </si>
  <si>
    <t>R. Final Numbers</t>
  </si>
  <si>
    <t>S. Kettle Fill Height</t>
  </si>
  <si>
    <t>T. Kettle Headspace</t>
  </si>
  <si>
    <t>X. BIABacus Default Adjustments</t>
  </si>
  <si>
    <t>Y. Extract Potential Adjustments</t>
  </si>
  <si>
    <t xml:space="preserve">Z. Time   </t>
  </si>
  <si>
    <t>qt</t>
  </si>
  <si>
    <t>qt =</t>
  </si>
  <si>
    <t>L/kg</t>
  </si>
  <si>
    <t>L/kg =</t>
  </si>
  <si>
    <t xml:space="preserve">For this batch though, I'd like to try an OG of: </t>
  </si>
  <si>
    <r>
      <t xml:space="preserve">NOTE… </t>
    </r>
    <r>
      <rPr>
        <b/>
        <sz val="11"/>
        <color indexed="8"/>
        <rFont val="Calibri"/>
        <family val="2"/>
      </rPr>
      <t>Hop Forms:</t>
    </r>
    <r>
      <rPr>
        <sz val="11"/>
        <color theme="1"/>
        <rFont val="Calibri"/>
        <family val="2"/>
      </rPr>
      <t xml:space="preserve"> Blank = Pellets, FL = Flowers, PL = Plugs    </t>
    </r>
    <r>
      <rPr>
        <b/>
        <sz val="11"/>
        <color indexed="8"/>
        <rFont val="Calibri"/>
        <family val="2"/>
      </rPr>
      <t>Hop Methods:</t>
    </r>
    <r>
      <rPr>
        <sz val="11"/>
        <color theme="1"/>
        <rFont val="Calibri"/>
        <family val="2"/>
      </rPr>
      <t xml:space="preserve"> Blank = Boiled, FW = First Wort Hopped, DR or DH = Dry Hopped.</t>
    </r>
  </si>
  <si>
    <t>The Original Hop Bill Design</t>
  </si>
  <si>
    <t>Note: If extracts, sugars or adjuncts are not followed by an exclamation mark, go to www.biabrewer.info (needs link)</t>
  </si>
  <si>
    <t>Grams/
Ratios</t>
  </si>
  <si>
    <t>qt/lb</t>
  </si>
  <si>
    <t>qt/lb =</t>
  </si>
  <si>
    <t xml:space="preserve"> L at ambient =</t>
  </si>
  <si>
    <t xml:space="preserve"> L at mash =</t>
  </si>
  <si>
    <t xml:space="preserve"> L at boil.</t>
  </si>
  <si>
    <t>Water/Wort Expansion and Contraction</t>
  </si>
  <si>
    <t>Note: The above applies to all volume units.</t>
  </si>
  <si>
    <t>Priming Sugars</t>
  </si>
  <si>
    <t xml:space="preserve">WHEN PRIMING  </t>
  </si>
  <si>
    <r>
      <t xml:space="preserve">ozs of </t>
    </r>
    <r>
      <rPr>
        <b/>
        <sz val="11"/>
        <color indexed="8"/>
        <rFont val="Calibri"/>
        <family val="2"/>
      </rPr>
      <t>corn sugar*</t>
    </r>
  </si>
  <si>
    <r>
      <t xml:space="preserve">ozs of </t>
    </r>
    <r>
      <rPr>
        <b/>
        <sz val="11"/>
        <color indexed="8"/>
        <rFont val="Calibri"/>
        <family val="2"/>
      </rPr>
      <t>table sugar**</t>
    </r>
  </si>
  <si>
    <t>ozs of Maple Syrup</t>
  </si>
  <si>
    <t>ozs of Molasses</t>
  </si>
  <si>
    <r>
      <t xml:space="preserve">ozs of </t>
    </r>
    <r>
      <rPr>
        <sz val="11"/>
        <color indexed="8"/>
        <rFont val="Calibri"/>
        <family val="2"/>
      </rPr>
      <t>DME</t>
    </r>
  </si>
  <si>
    <r>
      <t>ozs of L</t>
    </r>
    <r>
      <rPr>
        <sz val="11"/>
        <color indexed="8"/>
        <rFont val="Calibri"/>
        <family val="2"/>
      </rPr>
      <t>ME or Honey</t>
    </r>
  </si>
  <si>
    <t>* Corn sugar is also known as glucose and dextrose.</t>
  </si>
  <si>
    <t>** Also use this amount for demera or brown sugar&gt;</t>
  </si>
  <si>
    <t>Note: Unbolded ingredients can vary in their priming potential.</t>
  </si>
  <si>
    <t>SRM =</t>
  </si>
  <si>
    <t>Modern EBC</t>
  </si>
  <si>
    <t>° Lovibond =</t>
  </si>
  <si>
    <t>Colour Conversion</t>
  </si>
  <si>
    <t>Hydrometer Temperature Calibration</t>
  </si>
  <si>
    <t>Miscellaneous</t>
  </si>
  <si>
    <t>Weight</t>
  </si>
  <si>
    <t xml:space="preserve">qt = </t>
  </si>
  <si>
    <t>pt</t>
  </si>
  <si>
    <t xml:space="preserve">pt = </t>
  </si>
  <si>
    <t xml:space="preserve">G = </t>
  </si>
  <si>
    <t>pt =</t>
  </si>
  <si>
    <t>WEIGHTS &amp; VOLUMES</t>
  </si>
  <si>
    <t>Volume (Metric &amp; Imperial)</t>
  </si>
  <si>
    <t>ASSORTED</t>
  </si>
  <si>
    <t>Volume to Weight Ratios</t>
  </si>
  <si>
    <t>Metric and US Customary</t>
  </si>
  <si>
    <t>Volume (Metric &amp; US Customary)</t>
  </si>
  <si>
    <t>Metric and Imperial</t>
  </si>
  <si>
    <t>Unit Conversions ***</t>
  </si>
  <si>
    <r>
      <t xml:space="preserve">*** </t>
    </r>
    <r>
      <rPr>
        <sz val="11"/>
        <color indexed="10"/>
        <rFont val="Calibri"/>
        <family val="2"/>
      </rPr>
      <t xml:space="preserve">Note that the BIABAcus uses </t>
    </r>
    <r>
      <rPr>
        <b/>
        <sz val="11"/>
        <color indexed="10"/>
        <rFont val="Calibri"/>
        <family val="2"/>
      </rPr>
      <t>Metric and US Customary Units only</t>
    </r>
    <r>
      <rPr>
        <sz val="11"/>
        <color indexed="10"/>
        <rFont val="Calibri"/>
        <family val="2"/>
      </rPr>
      <t xml:space="preserve"> on all other sheets.</t>
    </r>
  </si>
  <si>
    <t>Water Added Before the Boil:</t>
  </si>
  <si>
    <t>U. Height = Volume</t>
  </si>
  <si>
    <t>V. Headspace =  Volume</t>
  </si>
  <si>
    <t>Whilst only a spreadsheet, The BIABacus contains many features not seen before and more are planned. There are also many hidden layers to the BIABacus. Make sure you are registered at BIABrewer.info to ensure you are notified of all future developments and can explore the hidden or non-obvious benefits of The BIABacus.</t>
  </si>
  <si>
    <r>
      <t xml:space="preserve">  BIAB Recipe Designer, Calculator and Scaler - </t>
    </r>
    <r>
      <rPr>
        <b/>
        <i/>
        <sz val="16"/>
        <color indexed="9"/>
        <rFont val="Calibri"/>
        <family val="2"/>
      </rPr>
      <t>Putting the Beer of God into You!</t>
    </r>
  </si>
  <si>
    <t>copyright - BIABrewer.info 2013</t>
  </si>
  <si>
    <t>Always save files in .xls format.</t>
  </si>
  <si>
    <t>For users without Microsoft Excel, Libre Office is recommended.</t>
  </si>
  <si>
    <t>Always save your original recipe and batches in separate files.</t>
  </si>
  <si>
    <r>
      <t xml:space="preserve">Whilst only a spreadsheet, The BIABacus contains many features not seen before in any other brewing software and more are planned. Unambiguous terminology, advanced auto-estimates, essential warnings, an informative report, fast and accurate scaling, correct formulas and clickable detailed help are just some of the features which make the BIABacus unique. There are also many layers to the BIABacus that everyone from the new all-grainer to the most experienced brewer will hopefully find exciting...
A </t>
    </r>
    <r>
      <rPr>
        <b/>
        <sz val="11"/>
        <color indexed="8"/>
        <rFont val="Calibri"/>
        <family val="2"/>
      </rPr>
      <t>new brewer</t>
    </r>
    <r>
      <rPr>
        <sz val="11"/>
        <color indexed="8"/>
        <rFont val="Calibri"/>
        <family val="2"/>
      </rPr>
      <t xml:space="preserve"> can use The BIABacus and BIABrewer.info to get under way quickly and confidently with their first brews. They can then grow naturally into advanced areas at a pace of their choosing.
An </t>
    </r>
    <r>
      <rPr>
        <b/>
        <sz val="11"/>
        <color indexed="8"/>
        <rFont val="Calibri"/>
        <family val="2"/>
      </rPr>
      <t>experienced brewer</t>
    </r>
    <r>
      <rPr>
        <sz val="11"/>
        <color indexed="8"/>
        <rFont val="Calibri"/>
        <family val="2"/>
      </rPr>
      <t xml:space="preserve"> will appreciate the speed and ease of use of The BIABacus along with many unobtrusive but complex calculations not seen before. The BIABAcus can even be personalised or improved quite easily by those with some basic spreadsheet skills. Please see, “Developers,” below.
</t>
    </r>
    <r>
      <rPr>
        <b/>
        <sz val="11"/>
        <color indexed="8"/>
        <rFont val="Calibri"/>
        <family val="2"/>
      </rPr>
      <t>Developers</t>
    </r>
    <r>
      <rPr>
        <sz val="11"/>
        <color indexed="8"/>
        <rFont val="Calibri"/>
        <family val="2"/>
      </rPr>
      <t xml:space="preserve">: Whilst the formulas for the BIABacus are hidden so as to make the spreadsheet more useable, this does not mean that the formulas or logic behind The BIABacus are not available to you. There are many ways, several that might seem easy and obvious, in which The BIABacus can be developed however we would like to make the following, ‘goodwill copyright claim’...
</t>
    </r>
    <r>
      <rPr>
        <b/>
        <sz val="11"/>
        <color indexed="8"/>
        <rFont val="Calibri"/>
        <family val="2"/>
      </rPr>
      <t xml:space="preserve">
If You Would Like to Use these Features - The Claim.</t>
    </r>
    <r>
      <rPr>
        <sz val="11"/>
        <color indexed="8"/>
        <rFont val="Calibri"/>
        <family val="2"/>
      </rPr>
      <t xml:space="preserve">
Whilst The BIABacus might look simple and easy now, it has taken several years and thousands of concentrated hours to create. Many brewers have assisted BIABrewer.info with 'The BIABacus Project,' some of them devoting hundreds of hours of thought with no expectation of reward. BIABrewer.info claims that this work is unique and asks the following... 
1. Many, ‘easy’, developments which may seem obvious, have repercussions. Unless you have been given permission, please only publish alterations to the BIABacus on BIABrewer.info. We welcome your alterations.
2. If you have developed or are developing existing brewing software and would like to copy some of The BIABacus terminology or thinking into your program, please let the webmaster know of your plans. We will support and help any high integrity project as best as we can.
3. If you would like to develop The BIABacus into ‘real’ software, please let the webmaster know. We have already done the hard thinking and know what any future 'coded' BIABacus needs to look like. One of our members has already designed and written the database. There's literally, thousands of hours of work that can be utilised.
In simple words, what we are trying to do here, in this goodwill copyright claim, is, firstly, ensure that the good work done here to date goes not get distorted, secondly, ensure that the work is acknowledged and finally, that the work is utilised most efficiently.
webmaster
BIABrewer.info</t>
    </r>
  </si>
  <si>
    <t xml:space="preserve">Efficiency Measurement   </t>
  </si>
  <si>
    <t xml:space="preserve">Efficiency into Fermentor (EIF):   </t>
  </si>
  <si>
    <t>2. Click on the cell above 'END OF REPORT' (far bottom left - row 115).</t>
  </si>
  <si>
    <t>2. Click on cell above 'END OF REPORT' (far bottom left - row 115).</t>
  </si>
  <si>
    <t>to check for latest offical version.</t>
  </si>
  <si>
    <t>Click</t>
  </si>
  <si>
    <t>here</t>
  </si>
  <si>
    <t>Colour (EBC):</t>
  </si>
  <si>
    <t>Wort 'Lost' from Fermentor:</t>
  </si>
  <si>
    <t>NOTE: This is a pre-release version that should only be used on www.biabrewer.info in the, "Use this thread to convert recipes to suit your equipment…" thread.</t>
  </si>
  <si>
    <t>Specific Gravity</t>
  </si>
  <si>
    <t xml:space="preserve">Adjust Auto Kettle Efficiency by: </t>
  </si>
  <si>
    <t>gal/lb</t>
  </si>
  <si>
    <t>Volume into Boil (VIB):</t>
  </si>
  <si>
    <t xml:space="preserve">Efficiency into Boil (EIB):   </t>
  </si>
  <si>
    <t>Gravity into Boil (GIB):</t>
  </si>
  <si>
    <t>Volume of Ambient Wort (VAW):</t>
  </si>
  <si>
    <t>Gravity of Ambient Wort (GAW):</t>
  </si>
  <si>
    <t xml:space="preserve">Efficiency of Ambient Wort (EAW):   </t>
  </si>
  <si>
    <t>Volume at Flame-Out (VFO):</t>
  </si>
  <si>
    <t>(Note that VAW below is the Volume at Flame-Out (VFO) less shrinkage.)</t>
  </si>
  <si>
    <r>
      <rPr>
        <b/>
        <sz val="11"/>
        <color indexed="8"/>
        <rFont val="Calibri"/>
        <family val="2"/>
      </rPr>
      <t>I'm copying the recipe from an external source</t>
    </r>
    <r>
      <rPr>
        <sz val="11"/>
        <color theme="1"/>
        <rFont val="Calibri"/>
        <family val="2"/>
      </rPr>
      <t>. The original recipe's Volume of Ambient Wort (</t>
    </r>
    <r>
      <rPr>
        <b/>
        <sz val="11"/>
        <color indexed="8"/>
        <rFont val="Calibri"/>
        <family val="2"/>
      </rPr>
      <t>VAW</t>
    </r>
    <r>
      <rPr>
        <sz val="11"/>
        <color theme="1"/>
        <rFont val="Calibri"/>
        <family val="2"/>
      </rPr>
      <t xml:space="preserve">) was:   </t>
    </r>
  </si>
  <si>
    <r>
      <rPr>
        <b/>
        <sz val="11"/>
        <color indexed="8"/>
        <rFont val="Calibri"/>
        <family val="2"/>
      </rPr>
      <t>I'm designing my own recipe</t>
    </r>
    <r>
      <rPr>
        <sz val="11"/>
        <color theme="1"/>
        <rFont val="Calibri"/>
        <family val="2"/>
      </rPr>
      <t xml:space="preserve"> or wish to change the original recipe's bitterness. Please just set my Desired </t>
    </r>
    <r>
      <rPr>
        <b/>
        <sz val="11"/>
        <color indexed="8"/>
        <rFont val="Calibri"/>
        <family val="2"/>
      </rPr>
      <t>IBU</t>
    </r>
    <r>
      <rPr>
        <sz val="11"/>
        <color theme="1"/>
        <rFont val="Calibri"/>
        <family val="2"/>
      </rPr>
      <t xml:space="preserve">'s (Tinseth) to: </t>
    </r>
  </si>
  <si>
    <t>Once chilled, VAW should be approx:</t>
  </si>
  <si>
    <t>The, "Clear Brewing Terminology," thread at http://www.biabrewer.info/</t>
  </si>
  <si>
    <t>W. Full-Volume Variations - FVV (based on Ambient)</t>
  </si>
  <si>
    <t>WYWU</t>
  </si>
  <si>
    <t>Above Step:</t>
  </si>
  <si>
    <t xml:space="preserve">4th Step: </t>
  </si>
  <si>
    <t xml:space="preserve">3rd Step: </t>
  </si>
  <si>
    <t xml:space="preserve">2nd Step: </t>
  </si>
  <si>
    <t xml:space="preserve">Secondary (Y/N): </t>
  </si>
  <si>
    <t xml:space="preserve">Crash-Chilled (Y/N): </t>
  </si>
  <si>
    <t xml:space="preserve">Filtered (Y/N): </t>
  </si>
  <si>
    <t>kj</t>
  </si>
  <si>
    <t>has approx:</t>
  </si>
  <si>
    <t>calories / serve.</t>
  </si>
  <si>
    <t xml:space="preserve">or </t>
  </si>
  <si>
    <t>Weight after filling:</t>
  </si>
  <si>
    <t>Specific gravity:</t>
  </si>
  <si>
    <t>Volume in vessel:</t>
  </si>
  <si>
    <t>Empty weight:</t>
  </si>
  <si>
    <t xml:space="preserve"> kg</t>
  </si>
  <si>
    <t xml:space="preserve"> L</t>
  </si>
  <si>
    <t>Random Metric Vessel</t>
  </si>
  <si>
    <t>Random Imp. Vessel</t>
  </si>
  <si>
    <t>Random U.S. Vessel</t>
  </si>
  <si>
    <t>Kettle</t>
  </si>
  <si>
    <t>Keg</t>
  </si>
  <si>
    <t xml:space="preserve">Name of Your Vessels: </t>
  </si>
  <si>
    <t>Cube</t>
  </si>
  <si>
    <t>Fermentor</t>
  </si>
  <si>
    <t>Secondary</t>
  </si>
  <si>
    <t>Note that vessel names may be changed by using the last line of this section.</t>
  </si>
  <si>
    <t>Gas Bottle</t>
  </si>
  <si>
    <t>Volume of Liquid in a Vessel using Weight and Specific Gravity</t>
  </si>
  <si>
    <t>Orig.</t>
  </si>
  <si>
    <t>Orig. = Original Recipe                   WYWU = What you will use.</t>
  </si>
  <si>
    <t>The Original Fermentable Bill Design</t>
  </si>
  <si>
    <t>C. The Fermentable Bill</t>
  </si>
  <si>
    <t>Fermentable &amp; Method</t>
  </si>
  <si>
    <t>Natural Priming (Y/N):</t>
  </si>
  <si>
    <t>`</t>
  </si>
  <si>
    <t>METHODS: Blank = Mashed, S = Steeped and B = Boiled Only.</t>
  </si>
  <si>
    <t>The Original Fermentable Bill</t>
  </si>
  <si>
    <t>The Actual Fermentable Bill</t>
  </si>
  <si>
    <t xml:space="preserve">Strike Water Temp. Adjustment Factor (1 to 5)*: </t>
  </si>
  <si>
    <t>*Default is 1 and is used for heavy kettles and burners.</t>
  </si>
  <si>
    <t xml:space="preserve">Condition for </t>
  </si>
  <si>
    <t xml:space="preserve">assuming attenuation* of </t>
  </si>
  <si>
    <t>* Default = 75% (apparent).</t>
  </si>
  <si>
    <t>Saccharifiaction</t>
  </si>
  <si>
    <t>Version PR 1.3U</t>
  </si>
  <si>
    <t>American - Pale 2-Row</t>
  </si>
  <si>
    <t>German - CaraFoam</t>
  </si>
  <si>
    <t>Am - Caramel/Crystal 60L</t>
  </si>
  <si>
    <t>Am - Munich - Light 10L</t>
  </si>
  <si>
    <t>German - Melanoidin</t>
  </si>
  <si>
    <t>Citra</t>
  </si>
  <si>
    <t>FW</t>
  </si>
  <si>
    <t>DH</t>
  </si>
  <si>
    <t>Zombie Dust Clone</t>
  </si>
  <si>
    <t>American IPA</t>
  </si>
  <si>
    <t>GIFF-FOREST CITY BREWERS</t>
  </si>
  <si>
    <t>Safale - English Ale Yeast S-04</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</si>
</sst>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C09]dd\-mmm\-yy;@"/>
    <numFmt numFmtId="181" formatCode="hh:mm;@"/>
    <numFmt numFmtId="182" formatCode="0.0%"/>
    <numFmt numFmtId="183" formatCode="#,##0.000"/>
    <numFmt numFmtId="184" formatCode="0.0000"/>
    <numFmt numFmtId="185" formatCode="0.00000"/>
    <numFmt numFmtId="186" formatCode="0.000000000"/>
    <numFmt numFmtId="187" formatCode="\+0.0;\-0.0;0.0"/>
    <numFmt numFmtId="188" formatCode="\+0.00;\-0.00;0.00"/>
    <numFmt numFmtId="189" formatCode="d\ mmm\ yyyy"/>
    <numFmt numFmtId="190" formatCode="&quot;Yes&quot;;&quot;Yes&quot;;&quot;No&quot;"/>
    <numFmt numFmtId="191" formatCode="&quot;True&quot;;&quot;True&quot;;&quot;False&quot;"/>
    <numFmt numFmtId="192" formatCode="&quot;On&quot;;&quot;On&quot;;&quot;Off&quot;"/>
    <numFmt numFmtId="193" formatCode="[$€-2]\ #,##0.00_);[Red]\([$€-2]\ #,##0.00\)"/>
    <numFmt numFmtId="194" formatCode="[$-C09]dddd\,\ d\ mmmm\ yyyy"/>
    <numFmt numFmtId="195" formatCode="[$-409]mmmm\ d\,\ yyyy;@"/>
    <numFmt numFmtId="196" formatCode="dd\ mmm\ yy"/>
    <numFmt numFmtId="197" formatCode="0.000&quot;/&quot;0"/>
    <numFmt numFmtId="198" formatCode="0.000&quot; /&quot;0"/>
    <numFmt numFmtId="199" formatCode="[$-809]dd\ mmmm\ yyyy"/>
    <numFmt numFmtId="200" formatCode="[$-F400]h:mm:ss\ am/pm"/>
  </numFmts>
  <fonts count="126">
    <font>
      <sz val="11"/>
      <color theme="1"/>
      <name val="Calibri"/>
      <family val="2"/>
    </font>
    <font>
      <sz val="11"/>
      <color indexed="8"/>
      <name val="Calibri"/>
      <family val="2"/>
    </font>
    <font>
      <b/>
      <sz val="11"/>
      <color indexed="8"/>
      <name val="Calibri"/>
      <family val="2"/>
    </font>
    <font>
      <sz val="10"/>
      <name val="Verdana"/>
      <family val="2"/>
    </font>
    <font>
      <u val="single"/>
      <sz val="10"/>
      <color indexed="12"/>
      <name val="Verdana"/>
      <family val="2"/>
    </font>
    <font>
      <sz val="11"/>
      <name val="Calibri"/>
      <family val="2"/>
    </font>
    <font>
      <b/>
      <sz val="11"/>
      <color indexed="9"/>
      <name val="Calibri"/>
      <family val="2"/>
    </font>
    <font>
      <sz val="10"/>
      <color indexed="8"/>
      <name val="Calibri"/>
      <family val="2"/>
    </font>
    <font>
      <u val="single"/>
      <sz val="11"/>
      <color indexed="12"/>
      <name val="Calibri"/>
      <family val="2"/>
    </font>
    <font>
      <sz val="10"/>
      <name val="Arial"/>
      <family val="2"/>
    </font>
    <font>
      <b/>
      <sz val="8"/>
      <color indexed="8"/>
      <name val="Calibri"/>
      <family val="2"/>
    </font>
    <font>
      <b/>
      <i/>
      <u val="single"/>
      <sz val="11"/>
      <color indexed="8"/>
      <name val="Calibri"/>
      <family val="2"/>
    </font>
    <font>
      <sz val="12"/>
      <color indexed="9"/>
      <name val="Verdana"/>
      <family val="2"/>
    </font>
    <font>
      <sz val="8"/>
      <color indexed="9"/>
      <name val="Verdana"/>
      <family val="2"/>
    </font>
    <font>
      <sz val="11"/>
      <color indexed="10"/>
      <name val="Calibri"/>
      <family val="2"/>
    </font>
    <font>
      <b/>
      <sz val="11"/>
      <color indexed="10"/>
      <name val="Calibri"/>
      <family val="2"/>
    </font>
    <font>
      <b/>
      <i/>
      <sz val="16"/>
      <color indexed="9"/>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0.5"/>
      <color indexed="8"/>
      <name val="Calibri"/>
      <family val="2"/>
    </font>
    <font>
      <b/>
      <sz val="18"/>
      <color indexed="56"/>
      <name val="Cambria"/>
      <family val="2"/>
    </font>
    <font>
      <sz val="10"/>
      <name val="Calibri"/>
      <family val="2"/>
    </font>
    <font>
      <b/>
      <sz val="10"/>
      <name val="Calibri"/>
      <family val="2"/>
    </font>
    <font>
      <u val="single"/>
      <sz val="11"/>
      <color indexed="8"/>
      <name val="Calibri"/>
      <family val="2"/>
    </font>
    <font>
      <i/>
      <sz val="10"/>
      <name val="Calibri"/>
      <family val="2"/>
    </font>
    <font>
      <b/>
      <sz val="12"/>
      <name val="Calibri"/>
      <family val="2"/>
    </font>
    <font>
      <b/>
      <sz val="14"/>
      <name val="Calibri"/>
      <family val="2"/>
    </font>
    <font>
      <b/>
      <sz val="15"/>
      <color indexed="9"/>
      <name val="Calibri"/>
      <family val="2"/>
    </font>
    <font>
      <b/>
      <sz val="12"/>
      <color indexed="9"/>
      <name val="Calibri"/>
      <family val="2"/>
    </font>
    <font>
      <sz val="11"/>
      <color indexed="42"/>
      <name val="Calibri"/>
      <family val="2"/>
    </font>
    <font>
      <sz val="16"/>
      <color indexed="9"/>
      <name val="Franklin Gothic Demi"/>
      <family val="2"/>
    </font>
    <font>
      <b/>
      <sz val="16"/>
      <color indexed="42"/>
      <name val="Calibri"/>
      <family val="2"/>
    </font>
    <font>
      <sz val="14"/>
      <color indexed="8"/>
      <name val="Calibri"/>
      <family val="2"/>
    </font>
    <font>
      <sz val="12"/>
      <color indexed="42"/>
      <name val="Calibri"/>
      <family val="2"/>
    </font>
    <font>
      <sz val="12"/>
      <color indexed="10"/>
      <name val="Calibri"/>
      <family val="2"/>
    </font>
    <font>
      <sz val="14"/>
      <color indexed="42"/>
      <name val="Calibri"/>
      <family val="2"/>
    </font>
    <font>
      <b/>
      <sz val="12"/>
      <color indexed="8"/>
      <name val="Calibri"/>
      <family val="2"/>
    </font>
    <font>
      <b/>
      <sz val="11"/>
      <color indexed="42"/>
      <name val="Calibri"/>
      <family val="2"/>
    </font>
    <font>
      <sz val="9"/>
      <color indexed="8"/>
      <name val="Calibri"/>
      <family val="2"/>
    </font>
    <font>
      <sz val="16"/>
      <color indexed="10"/>
      <name val="Calibri"/>
      <family val="2"/>
    </font>
    <font>
      <b/>
      <sz val="14"/>
      <color indexed="10"/>
      <name val="Calibri"/>
      <family val="2"/>
    </font>
    <font>
      <b/>
      <i/>
      <sz val="11"/>
      <color indexed="10"/>
      <name val="Calibri"/>
      <family val="2"/>
    </font>
    <font>
      <b/>
      <sz val="14"/>
      <color indexed="8"/>
      <name val="Calibri"/>
      <family val="2"/>
    </font>
    <font>
      <sz val="11"/>
      <color indexed="26"/>
      <name val="Calibri"/>
      <family val="2"/>
    </font>
    <font>
      <u val="single"/>
      <sz val="11"/>
      <color indexed="9"/>
      <name val="Calibri"/>
      <family val="2"/>
    </font>
    <font>
      <b/>
      <sz val="14"/>
      <color indexed="9"/>
      <name val="Calibri"/>
      <family val="2"/>
    </font>
    <font>
      <i/>
      <sz val="9"/>
      <color indexed="10"/>
      <name val="Calibri"/>
      <family val="2"/>
    </font>
    <font>
      <sz val="44"/>
      <color indexed="9"/>
      <name val="Franklin Gothic Demi"/>
      <family val="2"/>
    </font>
    <font>
      <b/>
      <u val="single"/>
      <sz val="15"/>
      <color indexed="9"/>
      <name val="Calibri"/>
      <family val="2"/>
    </font>
    <font>
      <sz val="13"/>
      <color indexed="9"/>
      <name val="Verdana"/>
      <family val="2"/>
    </font>
    <font>
      <sz val="20"/>
      <color indexed="17"/>
      <name val="Verdana"/>
      <family val="2"/>
    </font>
    <font>
      <sz val="10"/>
      <color indexed="10"/>
      <name val="Calibri"/>
      <family val="2"/>
    </font>
    <font>
      <sz val="14"/>
      <color indexed="10"/>
      <name val="Calibri"/>
      <family val="2"/>
    </font>
    <font>
      <u val="single"/>
      <sz val="15"/>
      <color indexed="9"/>
      <name val="Calibri"/>
      <family val="2"/>
    </font>
    <font>
      <b/>
      <sz val="16"/>
      <color indexed="9"/>
      <name val="Calibri"/>
      <family val="2"/>
    </font>
    <font>
      <sz val="14"/>
      <color indexed="9"/>
      <name val="Calibri"/>
      <family val="2"/>
    </font>
    <font>
      <b/>
      <sz val="12"/>
      <color indexed="42"/>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0.5"/>
      <color theme="1"/>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b/>
      <sz val="10"/>
      <color theme="1"/>
      <name val="Calibri"/>
      <family val="2"/>
    </font>
    <font>
      <b/>
      <sz val="15"/>
      <color theme="0"/>
      <name val="Calibri"/>
      <family val="2"/>
    </font>
    <font>
      <b/>
      <sz val="12"/>
      <color theme="0"/>
      <name val="Calibri"/>
      <family val="2"/>
    </font>
    <font>
      <sz val="11"/>
      <color theme="6" tint="0.7999799847602844"/>
      <name val="Calibri"/>
      <family val="2"/>
    </font>
    <font>
      <sz val="16"/>
      <color theme="0"/>
      <name val="Franklin Gothic Demi"/>
      <family val="2"/>
    </font>
    <font>
      <b/>
      <sz val="16"/>
      <color theme="6" tint="0.7999799847602844"/>
      <name val="Calibri"/>
      <family val="2"/>
    </font>
    <font>
      <sz val="14"/>
      <color theme="1"/>
      <name val="Calibri"/>
      <family val="2"/>
    </font>
    <font>
      <sz val="12"/>
      <color theme="6" tint="0.7999799847602844"/>
      <name val="Calibri"/>
      <family val="2"/>
    </font>
    <font>
      <sz val="12"/>
      <color rgb="FFFF0000"/>
      <name val="Calibri"/>
      <family val="2"/>
    </font>
    <font>
      <sz val="14"/>
      <color theme="6" tint="0.7999799847602844"/>
      <name val="Calibri"/>
      <family val="2"/>
    </font>
    <font>
      <b/>
      <sz val="12"/>
      <color theme="1"/>
      <name val="Calibri"/>
      <family val="2"/>
    </font>
    <font>
      <b/>
      <sz val="11"/>
      <color theme="6" tint="0.7999799847602844"/>
      <name val="Calibri"/>
      <family val="2"/>
    </font>
    <font>
      <sz val="9"/>
      <color theme="1"/>
      <name val="Calibri"/>
      <family val="2"/>
    </font>
    <font>
      <sz val="16"/>
      <color rgb="FFFF0000"/>
      <name val="Calibri"/>
      <family val="2"/>
    </font>
    <font>
      <b/>
      <sz val="14"/>
      <color rgb="FFFF0000"/>
      <name val="Calibri"/>
      <family val="2"/>
    </font>
    <font>
      <b/>
      <i/>
      <sz val="11"/>
      <color rgb="FFFF0000"/>
      <name val="Calibri"/>
      <family val="2"/>
    </font>
    <font>
      <b/>
      <sz val="14"/>
      <color theme="1"/>
      <name val="Calibri"/>
      <family val="2"/>
    </font>
    <font>
      <sz val="11"/>
      <color theme="2"/>
      <name val="Calibri"/>
      <family val="2"/>
    </font>
    <font>
      <b/>
      <sz val="12"/>
      <color theme="6" tint="0.7999799847602844"/>
      <name val="Calibri"/>
      <family val="2"/>
    </font>
    <font>
      <u val="single"/>
      <sz val="11"/>
      <color theme="0"/>
      <name val="Calibri"/>
      <family val="2"/>
    </font>
    <font>
      <sz val="14"/>
      <color rgb="FFFF0000"/>
      <name val="Calibri"/>
      <family val="2"/>
    </font>
    <font>
      <u val="single"/>
      <sz val="15"/>
      <color theme="0"/>
      <name val="Calibri"/>
      <family val="2"/>
    </font>
    <font>
      <b/>
      <sz val="16"/>
      <color theme="0"/>
      <name val="Calibri"/>
      <family val="2"/>
    </font>
    <font>
      <sz val="14"/>
      <color theme="0"/>
      <name val="Calibri"/>
      <family val="2"/>
    </font>
    <font>
      <sz val="10"/>
      <color rgb="FFFF0000"/>
      <name val="Calibri"/>
      <family val="2"/>
    </font>
    <font>
      <sz val="20"/>
      <color rgb="FF006411"/>
      <name val="Verdana"/>
      <family val="2"/>
    </font>
    <font>
      <b/>
      <sz val="14"/>
      <color theme="0"/>
      <name val="Calibri"/>
      <family val="2"/>
    </font>
    <font>
      <sz val="12"/>
      <color theme="0"/>
      <name val="Verdana"/>
      <family val="2"/>
    </font>
    <font>
      <i/>
      <sz val="9"/>
      <color rgb="FFFF0000"/>
      <name val="Calibri"/>
      <family val="2"/>
    </font>
    <font>
      <sz val="44"/>
      <color theme="0"/>
      <name val="Franklin Gothic Demi"/>
      <family val="2"/>
    </font>
    <font>
      <b/>
      <u val="single"/>
      <sz val="15"/>
      <color theme="0"/>
      <name val="Calibri"/>
      <family val="2"/>
    </font>
    <font>
      <sz val="13"/>
      <color theme="0"/>
      <name val="Verdana"/>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3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7"/>
        <bgColor indexed="64"/>
      </patternFill>
    </fill>
    <fill>
      <patternFill patternType="solid">
        <fgColor rgb="FFC6EFCE"/>
        <bgColor indexed="64"/>
      </patternFill>
    </fill>
    <fill>
      <patternFill patternType="solid">
        <fgColor rgb="FFFFCC99"/>
        <bgColor indexed="64"/>
      </patternFill>
    </fill>
    <fill>
      <patternFill patternType="solid">
        <fgColor rgb="FF10A417"/>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4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ck">
        <color rgb="FFC2D69A"/>
      </left>
      <right style="thick">
        <color rgb="FF34411B"/>
      </right>
      <top style="thick">
        <color rgb="FFC2D69A"/>
      </top>
      <bottom style="thick">
        <color rgb="FF34411B"/>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theme="6" tint="-0.4999699890613556"/>
      </left>
      <right style="thin">
        <color theme="6" tint="-0.4999699890613556"/>
      </right>
      <top style="thin">
        <color theme="6" tint="-0.4999699890613556"/>
      </top>
      <bottom style="thin">
        <color theme="6" tint="-0.499969989061355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theme="6" tint="-0.4999699890613556"/>
      </left>
      <right style="medium">
        <color rgb="FFC2D69A"/>
      </right>
      <top style="medium">
        <color theme="6" tint="-0.4999699890613556"/>
      </top>
      <bottom style="medium">
        <color rgb="FFC2D69A"/>
      </bottom>
    </border>
    <border>
      <left style="medium">
        <color theme="6" tint="-0.4999699890613556"/>
      </left>
      <right style="medium">
        <color rgb="FFC2D69A"/>
      </right>
      <top style="medium">
        <color theme="6" tint="-0.4999699890613556"/>
      </top>
      <bottom style="thin">
        <color theme="6" tint="0.5999600291252136"/>
      </bottom>
    </border>
    <border>
      <left style="medium">
        <color theme="6" tint="-0.4999699890613556"/>
      </left>
      <right style="medium">
        <color rgb="FFC2D69A"/>
      </right>
      <top style="thin">
        <color theme="6" tint="0.5999600291252136"/>
      </top>
      <bottom style="thin">
        <color theme="6" tint="0.5999600291252136"/>
      </bottom>
    </border>
    <border>
      <left style="medium">
        <color theme="6" tint="-0.4999699890613556"/>
      </left>
      <right style="medium">
        <color rgb="FFC2D69A"/>
      </right>
      <top style="thin">
        <color theme="6" tint="0.5999600291252136"/>
      </top>
      <bottom style="medium">
        <color theme="6" tint="0.3999499976634979"/>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color theme="6" tint="-0.4999699890613556"/>
      </top>
      <bottom>
        <color indexed="63"/>
      </bottom>
    </border>
    <border>
      <left style="medium">
        <color theme="6" tint="-0.4999699890613556"/>
      </left>
      <right>
        <color indexed="63"/>
      </right>
      <top style="medium">
        <color theme="6" tint="-0.4999699890613556"/>
      </top>
      <bottom>
        <color indexed="63"/>
      </bottom>
    </border>
    <border>
      <left style="medium">
        <color theme="6" tint="-0.4999699890613556"/>
      </left>
      <right>
        <color indexed="63"/>
      </right>
      <top>
        <color indexed="63"/>
      </top>
      <bottom>
        <color indexed="63"/>
      </bottom>
    </border>
    <border>
      <left>
        <color indexed="63"/>
      </left>
      <right style="medium">
        <color theme="6" tint="-0.4999699890613556"/>
      </right>
      <top>
        <color indexed="63"/>
      </top>
      <bottom>
        <color indexed="63"/>
      </bottom>
    </border>
    <border>
      <left>
        <color indexed="63"/>
      </left>
      <right style="thin"/>
      <top>
        <color indexed="63"/>
      </top>
      <bottom>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2" fontId="7" fillId="4" borderId="0" applyNumberFormat="0" applyFont="0" applyBorder="0" applyProtection="0">
      <alignment/>
    </xf>
    <xf numFmtId="0" fontId="72" fillId="27" borderId="0" applyNumberFormat="0" applyBorder="0" applyAlignment="0" applyProtection="0"/>
    <xf numFmtId="0" fontId="73" fillId="28" borderId="1" applyNumberFormat="0" applyAlignment="0" applyProtection="0"/>
    <xf numFmtId="0" fontId="74"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 fontId="6" fillId="30" borderId="0" applyNumberFormat="0" applyFont="0" applyBorder="0" applyAlignment="0" applyProtection="0"/>
    <xf numFmtId="0" fontId="3" fillId="30" borderId="3"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1" borderId="0" applyNumberFormat="0" applyBorder="0" applyAlignment="0" applyProtection="0"/>
    <xf numFmtId="0" fontId="78" fillId="0" borderId="4"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82" fillId="32" borderId="1" applyNumberFormat="0" applyAlignment="0" applyProtection="0"/>
    <xf numFmtId="0" fontId="74" fillId="33" borderId="7" applyNumberFormat="0">
      <alignment horizontal="center"/>
      <protection/>
    </xf>
    <xf numFmtId="0" fontId="83" fillId="0" borderId="8" applyNumberFormat="0" applyFill="0" applyAlignment="0" applyProtection="0"/>
    <xf numFmtId="0" fontId="3" fillId="33" borderId="0" applyNumberFormat="0" applyFont="0" applyBorder="0" applyAlignment="0" applyProtection="0"/>
    <xf numFmtId="0" fontId="84" fillId="34" borderId="0" applyNumberFormat="0" applyBorder="0" applyAlignment="0" applyProtection="0"/>
    <xf numFmtId="0" fontId="3" fillId="0" borderId="0">
      <alignment/>
      <protection/>
    </xf>
    <xf numFmtId="0" fontId="9" fillId="0" borderId="0">
      <alignment/>
      <protection/>
    </xf>
    <xf numFmtId="0" fontId="0" fillId="0" borderId="0">
      <alignment/>
      <protection/>
    </xf>
    <xf numFmtId="0" fontId="85" fillId="0" borderId="0">
      <alignment/>
      <protection/>
    </xf>
    <xf numFmtId="0" fontId="3" fillId="0" borderId="0">
      <alignment/>
      <protection/>
    </xf>
    <xf numFmtId="0" fontId="0" fillId="35" borderId="9" applyNumberFormat="0" applyFont="0" applyAlignment="0" applyProtection="0"/>
    <xf numFmtId="0" fontId="86" fillId="28"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2" fontId="87" fillId="4" borderId="0" applyNumberFormat="0" applyAlignment="0" applyProtection="0"/>
    <xf numFmtId="2" fontId="5" fillId="0" borderId="11" applyNumberFormat="0" applyFont="0" applyAlignment="0">
      <protection locked="0"/>
    </xf>
    <xf numFmtId="2" fontId="5" fillId="0" borderId="11" applyNumberFormat="0" applyFont="0" applyAlignment="0" applyProtection="0"/>
    <xf numFmtId="2" fontId="1" fillId="0" borderId="12" applyNumberFormat="0" applyFont="0" applyAlignment="0">
      <protection locked="0"/>
    </xf>
    <xf numFmtId="2" fontId="1" fillId="0" borderId="12" applyNumberFormat="0" applyFont="0" applyAlignment="0">
      <protection/>
    </xf>
    <xf numFmtId="181" fontId="5" fillId="0" borderId="13" applyNumberFormat="0" applyFont="0" applyAlignment="0">
      <protection locked="0"/>
    </xf>
    <xf numFmtId="181" fontId="5" fillId="0" borderId="13" applyNumberFormat="0" applyFont="0" applyAlignment="0">
      <protection/>
    </xf>
    <xf numFmtId="181" fontId="5" fillId="0" borderId="14" applyNumberFormat="0" applyFont="0" applyAlignment="0">
      <protection locked="0"/>
    </xf>
    <xf numFmtId="181" fontId="5" fillId="0" borderId="14" applyNumberFormat="0" applyFont="0" applyAlignment="0">
      <protection/>
    </xf>
    <xf numFmtId="0" fontId="88" fillId="0" borderId="0" applyNumberFormat="0" applyFill="0" applyBorder="0" applyAlignment="0" applyProtection="0"/>
    <xf numFmtId="0" fontId="89" fillId="0" borderId="15" applyNumberFormat="0" applyFill="0" applyAlignment="0" applyProtection="0"/>
    <xf numFmtId="0" fontId="90" fillId="0" borderId="0" applyNumberFormat="0" applyFill="0" applyBorder="0" applyAlignment="0" applyProtection="0"/>
  </cellStyleXfs>
  <cellXfs count="359">
    <xf numFmtId="0" fontId="0" fillId="0" borderId="0" xfId="0" applyFont="1" applyAlignment="1">
      <alignment/>
    </xf>
    <xf numFmtId="178" fontId="0" fillId="4" borderId="0" xfId="0" applyNumberFormat="1" applyFill="1" applyAlignment="1" applyProtection="1">
      <alignment/>
      <protection hidden="1"/>
    </xf>
    <xf numFmtId="2" fontId="0" fillId="4" borderId="0" xfId="0" applyNumberFormat="1" applyFill="1" applyAlignment="1" applyProtection="1">
      <alignment/>
      <protection hidden="1"/>
    </xf>
    <xf numFmtId="0" fontId="0" fillId="36" borderId="0" xfId="0" applyFill="1" applyAlignment="1" applyProtection="1">
      <alignment/>
      <protection hidden="1"/>
    </xf>
    <xf numFmtId="179" fontId="0" fillId="4" borderId="0" xfId="0" applyNumberFormat="1" applyFill="1" applyAlignment="1" applyProtection="1">
      <alignment/>
      <protection hidden="1"/>
    </xf>
    <xf numFmtId="0" fontId="0" fillId="36" borderId="0" xfId="0" applyFill="1" applyAlignment="1" applyProtection="1">
      <alignment/>
      <protection hidden="1"/>
    </xf>
    <xf numFmtId="0" fontId="5" fillId="36" borderId="0" xfId="0" applyFont="1" applyFill="1" applyAlignment="1" applyProtection="1">
      <alignment/>
      <protection hidden="1"/>
    </xf>
    <xf numFmtId="0" fontId="34" fillId="36" borderId="0" xfId="65" applyFont="1" applyFill="1" applyProtection="1">
      <alignment/>
      <protection hidden="1"/>
    </xf>
    <xf numFmtId="0" fontId="34" fillId="36" borderId="0" xfId="65" applyFont="1" applyFill="1" applyProtection="1" quotePrefix="1">
      <alignment/>
      <protection hidden="1"/>
    </xf>
    <xf numFmtId="0" fontId="35" fillId="36" borderId="0" xfId="65" applyFont="1" applyFill="1" applyProtection="1" quotePrefix="1">
      <alignment/>
      <protection hidden="1"/>
    </xf>
    <xf numFmtId="0" fontId="34" fillId="36" borderId="0" xfId="65" applyFont="1" applyFill="1" applyAlignment="1" applyProtection="1">
      <alignment vertical="top" wrapText="1"/>
      <protection hidden="1"/>
    </xf>
    <xf numFmtId="0" fontId="35" fillId="36" borderId="0" xfId="65" applyFont="1" applyFill="1" applyProtection="1">
      <alignment/>
      <protection hidden="1"/>
    </xf>
    <xf numFmtId="0" fontId="34" fillId="36" borderId="0" xfId="65" applyFont="1" applyFill="1" applyAlignment="1" applyProtection="1">
      <alignment vertical="top"/>
      <protection hidden="1"/>
    </xf>
    <xf numFmtId="0" fontId="0" fillId="4" borderId="0" xfId="0" applyFont="1" applyFill="1" applyAlignment="1" applyProtection="1">
      <alignment/>
      <protection hidden="1"/>
    </xf>
    <xf numFmtId="0" fontId="91" fillId="4" borderId="0" xfId="57" applyFont="1" applyFill="1" applyAlignment="1" applyProtection="1">
      <alignment/>
      <protection hidden="1"/>
    </xf>
    <xf numFmtId="0" fontId="0" fillId="4" borderId="0" xfId="0" applyFont="1" applyFill="1" applyAlignment="1" applyProtection="1">
      <alignment vertical="top" wrapText="1"/>
      <protection hidden="1"/>
    </xf>
    <xf numFmtId="0" fontId="0" fillId="4" borderId="0" xfId="0" applyFill="1" applyAlignment="1" applyProtection="1">
      <alignment/>
      <protection hidden="1"/>
    </xf>
    <xf numFmtId="0" fontId="0" fillId="4" borderId="0" xfId="0" applyFont="1" applyFill="1" applyAlignment="1" applyProtection="1">
      <alignment/>
      <protection hidden="1"/>
    </xf>
    <xf numFmtId="0" fontId="89" fillId="4" borderId="0" xfId="0" applyFont="1" applyFill="1" applyAlignment="1" applyProtection="1">
      <alignment/>
      <protection hidden="1"/>
    </xf>
    <xf numFmtId="0" fontId="0" fillId="4" borderId="0" xfId="0" applyFill="1" applyAlignment="1" applyProtection="1">
      <alignment shrinkToFit="1"/>
      <protection hidden="1"/>
    </xf>
    <xf numFmtId="0" fontId="0" fillId="4" borderId="0" xfId="0" applyFont="1" applyFill="1" applyAlignment="1" applyProtection="1">
      <alignment shrinkToFit="1"/>
      <protection hidden="1"/>
    </xf>
    <xf numFmtId="0" fontId="35" fillId="36" borderId="0" xfId="65" applyFont="1" applyFill="1" applyAlignment="1" applyProtection="1">
      <alignment horizontal="center"/>
      <protection hidden="1"/>
    </xf>
    <xf numFmtId="0" fontId="92" fillId="36" borderId="0" xfId="0" applyFont="1" applyFill="1" applyAlignment="1" applyProtection="1">
      <alignment/>
      <protection hidden="1"/>
    </xf>
    <xf numFmtId="0" fontId="93" fillId="36" borderId="0" xfId="0" applyFont="1" applyFill="1" applyAlignment="1" applyProtection="1">
      <alignment/>
      <protection hidden="1"/>
    </xf>
    <xf numFmtId="0" fontId="92" fillId="36" borderId="0" xfId="0" applyFont="1" applyFill="1" applyAlignment="1" applyProtection="1" quotePrefix="1">
      <alignment/>
      <protection hidden="1"/>
    </xf>
    <xf numFmtId="0" fontId="92" fillId="36" borderId="0" xfId="0" applyFont="1" applyFill="1" applyAlignment="1" applyProtection="1">
      <alignment wrapText="1"/>
      <protection hidden="1"/>
    </xf>
    <xf numFmtId="0" fontId="37" fillId="36" borderId="0" xfId="65" applyFont="1" applyFill="1" applyProtection="1">
      <alignment/>
      <protection hidden="1"/>
    </xf>
    <xf numFmtId="0" fontId="38" fillId="36" borderId="0" xfId="0" applyFont="1" applyFill="1" applyAlignment="1" applyProtection="1">
      <alignment/>
      <protection hidden="1"/>
    </xf>
    <xf numFmtId="20" fontId="0" fillId="36" borderId="0" xfId="0" applyNumberFormat="1" applyFill="1" applyAlignment="1" applyProtection="1">
      <alignment/>
      <protection hidden="1"/>
    </xf>
    <xf numFmtId="0" fontId="35" fillId="36" borderId="16" xfId="65" applyFont="1" applyFill="1" applyBorder="1" applyAlignment="1" applyProtection="1">
      <alignment horizontal="center"/>
      <protection locked="0"/>
    </xf>
    <xf numFmtId="179" fontId="0" fillId="4" borderId="0" xfId="0" applyNumberFormat="1" applyFont="1" applyFill="1" applyAlignment="1" applyProtection="1">
      <alignment horizontal="center"/>
      <protection hidden="1"/>
    </xf>
    <xf numFmtId="0" fontId="38" fillId="36" borderId="0" xfId="0" applyFont="1" applyFill="1" applyAlignment="1" applyProtection="1">
      <alignment horizontal="center" vertical="center"/>
      <protection hidden="1"/>
    </xf>
    <xf numFmtId="0" fontId="39" fillId="36" borderId="0" xfId="0" applyFont="1" applyFill="1" applyAlignment="1" applyProtection="1">
      <alignment horizontal="center" vertical="center"/>
      <protection hidden="1"/>
    </xf>
    <xf numFmtId="0" fontId="92" fillId="36" borderId="0" xfId="0" applyFont="1" applyFill="1" applyAlignment="1" applyProtection="1">
      <alignment/>
      <protection locked="0"/>
    </xf>
    <xf numFmtId="0" fontId="92" fillId="36" borderId="0" xfId="0" applyFont="1" applyFill="1" applyAlignment="1" applyProtection="1">
      <alignment horizontal="center"/>
      <protection hidden="1"/>
    </xf>
    <xf numFmtId="179" fontId="0" fillId="4" borderId="0" xfId="0" applyNumberFormat="1" applyFill="1" applyAlignment="1" applyProtection="1" quotePrefix="1">
      <alignment horizontal="center"/>
      <protection hidden="1"/>
    </xf>
    <xf numFmtId="0" fontId="0" fillId="4" borderId="0" xfId="0" applyFill="1" applyAlignment="1" applyProtection="1">
      <alignment/>
      <protection hidden="1"/>
    </xf>
    <xf numFmtId="2" fontId="0" fillId="36" borderId="0" xfId="0" applyNumberFormat="1" applyFill="1" applyAlignment="1" applyProtection="1">
      <alignment/>
      <protection hidden="1"/>
    </xf>
    <xf numFmtId="178" fontId="0" fillId="36" borderId="0" xfId="0" applyNumberFormat="1" applyFill="1" applyAlignment="1" applyProtection="1">
      <alignment/>
      <protection hidden="1"/>
    </xf>
    <xf numFmtId="0" fontId="94" fillId="36" borderId="0" xfId="0" applyFont="1" applyFill="1" applyAlignment="1" applyProtection="1">
      <alignment horizontal="center" vertical="center"/>
      <protection hidden="1"/>
    </xf>
    <xf numFmtId="0" fontId="95" fillId="36" borderId="0" xfId="0" applyFont="1" applyFill="1" applyAlignment="1" applyProtection="1">
      <alignment/>
      <protection hidden="1"/>
    </xf>
    <xf numFmtId="0" fontId="94" fillId="36" borderId="0" xfId="0" applyFont="1" applyFill="1" applyAlignment="1" applyProtection="1">
      <alignment vertical="center"/>
      <protection hidden="1"/>
    </xf>
    <xf numFmtId="2" fontId="0" fillId="4" borderId="0" xfId="0" applyNumberFormat="1" applyFill="1" applyAlignment="1" applyProtection="1">
      <alignment shrinkToFit="1"/>
      <protection hidden="1"/>
    </xf>
    <xf numFmtId="0" fontId="0" fillId="36" borderId="0" xfId="0" applyFill="1" applyAlignment="1" applyProtection="1">
      <alignment shrinkToFit="1"/>
      <protection hidden="1"/>
    </xf>
    <xf numFmtId="0" fontId="96" fillId="36" borderId="0" xfId="0" applyFont="1" applyFill="1" applyAlignment="1" applyProtection="1">
      <alignment shrinkToFit="1"/>
      <protection hidden="1"/>
    </xf>
    <xf numFmtId="0" fontId="0" fillId="36" borderId="0" xfId="0" applyFill="1" applyAlignment="1">
      <alignment shrinkToFit="1"/>
    </xf>
    <xf numFmtId="0" fontId="71" fillId="37" borderId="0" xfId="0" applyFont="1" applyFill="1" applyAlignment="1" applyProtection="1">
      <alignment shrinkToFit="1"/>
      <protection hidden="1"/>
    </xf>
    <xf numFmtId="0" fontId="0" fillId="4" borderId="0" xfId="0" applyFill="1" applyAlignment="1">
      <alignment shrinkToFit="1"/>
    </xf>
    <xf numFmtId="0" fontId="0" fillId="4" borderId="0" xfId="0" applyFill="1" applyAlignment="1">
      <alignment vertical="center" shrinkToFit="1"/>
    </xf>
    <xf numFmtId="0" fontId="97" fillId="37" borderId="0" xfId="0" applyFont="1" applyFill="1" applyAlignment="1" applyProtection="1">
      <alignment shrinkToFit="1"/>
      <protection hidden="1"/>
    </xf>
    <xf numFmtId="180" fontId="0" fillId="4" borderId="0" xfId="0" applyNumberFormat="1" applyFill="1" applyAlignment="1" applyProtection="1">
      <alignment vertical="center" shrinkToFit="1"/>
      <protection locked="0"/>
    </xf>
    <xf numFmtId="0" fontId="71" fillId="36" borderId="0" xfId="0" applyFont="1" applyFill="1" applyAlignment="1" applyProtection="1">
      <alignment shrinkToFit="1"/>
      <protection hidden="1"/>
    </xf>
    <xf numFmtId="0" fontId="71" fillId="36" borderId="0" xfId="0" applyFont="1" applyFill="1" applyAlignment="1" applyProtection="1">
      <alignment horizontal="center" shrinkToFit="1"/>
      <protection hidden="1"/>
    </xf>
    <xf numFmtId="0" fontId="98" fillId="36" borderId="0" xfId="0" applyFont="1" applyFill="1" applyAlignment="1" applyProtection="1">
      <alignment vertical="center" shrinkToFit="1"/>
      <protection hidden="1"/>
    </xf>
    <xf numFmtId="0" fontId="99" fillId="36" borderId="0" xfId="0" applyFont="1" applyFill="1" applyAlignment="1" applyProtection="1">
      <alignment shrinkToFit="1"/>
      <protection hidden="1"/>
    </xf>
    <xf numFmtId="0" fontId="100" fillId="36" borderId="0" xfId="0" applyFont="1" applyFill="1" applyAlignment="1" applyProtection="1">
      <alignment shrinkToFit="1"/>
      <protection hidden="1"/>
    </xf>
    <xf numFmtId="0" fontId="99" fillId="36" borderId="0" xfId="0" applyFont="1" applyFill="1" applyAlignment="1" applyProtection="1">
      <alignment horizontal="center" shrinkToFit="1"/>
      <protection hidden="1"/>
    </xf>
    <xf numFmtId="196" fontId="95" fillId="36" borderId="0" xfId="0" applyNumberFormat="1" applyFont="1" applyFill="1" applyAlignment="1" applyProtection="1">
      <alignment shrinkToFit="1"/>
      <protection hidden="1"/>
    </xf>
    <xf numFmtId="0" fontId="101" fillId="4" borderId="0" xfId="0" applyFont="1" applyFill="1" applyAlignment="1" applyProtection="1">
      <alignment shrinkToFit="1"/>
      <protection hidden="1"/>
    </xf>
    <xf numFmtId="0" fontId="102" fillId="36" borderId="0" xfId="0" applyFont="1" applyFill="1" applyAlignment="1" applyProtection="1">
      <alignment horizontal="center" shrinkToFit="1"/>
      <protection hidden="1"/>
    </xf>
    <xf numFmtId="0" fontId="95" fillId="4" borderId="0" xfId="0" applyFont="1" applyFill="1" applyAlignment="1" applyProtection="1">
      <alignment shrinkToFit="1"/>
      <protection hidden="1"/>
    </xf>
    <xf numFmtId="0" fontId="0" fillId="4" borderId="0" xfId="0" applyFill="1" applyAlignment="1" applyProtection="1" quotePrefix="1">
      <alignment shrinkToFit="1"/>
      <protection hidden="1"/>
    </xf>
    <xf numFmtId="0" fontId="103" fillId="4" borderId="0" xfId="0" applyFont="1" applyFill="1" applyAlignment="1" applyProtection="1">
      <alignment shrinkToFit="1"/>
      <protection hidden="1"/>
    </xf>
    <xf numFmtId="0" fontId="96" fillId="36" borderId="0" xfId="0" applyFont="1" applyFill="1" applyAlignment="1">
      <alignment shrinkToFit="1"/>
    </xf>
    <xf numFmtId="0" fontId="0" fillId="4" borderId="0" xfId="0" applyNumberFormat="1" applyFill="1" applyAlignment="1" applyProtection="1">
      <alignment shrinkToFit="1"/>
      <protection hidden="1"/>
    </xf>
    <xf numFmtId="0" fontId="92" fillId="4" borderId="0" xfId="0" applyFont="1" applyFill="1" applyAlignment="1" applyProtection="1">
      <alignment vertical="center" shrinkToFit="1"/>
      <protection hidden="1"/>
    </xf>
    <xf numFmtId="178" fontId="0" fillId="4" borderId="0" xfId="0" applyNumberFormat="1" applyFill="1" applyAlignment="1" applyProtection="1">
      <alignment shrinkToFit="1"/>
      <protection hidden="1"/>
    </xf>
    <xf numFmtId="20" fontId="0" fillId="4" borderId="0" xfId="0" applyNumberFormat="1" applyFill="1" applyAlignment="1" applyProtection="1">
      <alignment shrinkToFit="1"/>
      <protection hidden="1"/>
    </xf>
    <xf numFmtId="0" fontId="81" fillId="4" borderId="0" xfId="57" applyFill="1" applyAlignment="1" applyProtection="1">
      <alignment shrinkToFit="1"/>
      <protection locked="0"/>
    </xf>
    <xf numFmtId="0" fontId="89" fillId="4" borderId="0" xfId="0" applyFont="1" applyFill="1" applyAlignment="1" applyProtection="1">
      <alignment horizontal="left" shrinkToFit="1"/>
      <protection hidden="1"/>
    </xf>
    <xf numFmtId="0" fontId="89" fillId="4" borderId="0" xfId="0" applyFont="1" applyFill="1" applyAlignment="1" applyProtection="1">
      <alignment shrinkToFit="1"/>
      <protection hidden="1"/>
    </xf>
    <xf numFmtId="0" fontId="89" fillId="4" borderId="0" xfId="0" applyFont="1" applyFill="1" applyAlignment="1" applyProtection="1">
      <alignment horizontal="center" shrinkToFit="1"/>
      <protection hidden="1"/>
    </xf>
    <xf numFmtId="0" fontId="90" fillId="36" borderId="0" xfId="0" applyFont="1" applyFill="1" applyAlignment="1" applyProtection="1">
      <alignment shrinkToFit="1"/>
      <protection hidden="1"/>
    </xf>
    <xf numFmtId="1" fontId="0" fillId="4" borderId="0" xfId="0" applyNumberFormat="1" applyFill="1" applyAlignment="1" applyProtection="1">
      <alignment shrinkToFit="1"/>
      <protection hidden="1"/>
    </xf>
    <xf numFmtId="0" fontId="96" fillId="4" borderId="0" xfId="0" applyFont="1" applyFill="1" applyAlignment="1" applyProtection="1">
      <alignment shrinkToFit="1"/>
      <protection hidden="1"/>
    </xf>
    <xf numFmtId="1" fontId="89" fillId="4" borderId="0" xfId="0" applyNumberFormat="1" applyFont="1" applyFill="1" applyAlignment="1" applyProtection="1">
      <alignment shrinkToFit="1"/>
      <protection hidden="1"/>
    </xf>
    <xf numFmtId="2" fontId="89" fillId="4" borderId="0" xfId="0" applyNumberFormat="1" applyFont="1" applyFill="1" applyAlignment="1" applyProtection="1">
      <alignment shrinkToFit="1"/>
      <protection hidden="1"/>
    </xf>
    <xf numFmtId="0" fontId="71" fillId="36" borderId="0" xfId="0" applyFont="1" applyFill="1" applyAlignment="1">
      <alignment shrinkToFit="1"/>
    </xf>
    <xf numFmtId="0" fontId="0" fillId="4" borderId="0" xfId="0" applyFill="1" applyAlignment="1" applyProtection="1">
      <alignment horizontal="left" shrinkToFit="1"/>
      <protection hidden="1"/>
    </xf>
    <xf numFmtId="0" fontId="0" fillId="4" borderId="0" xfId="0" applyFill="1" applyAlignment="1" applyProtection="1">
      <alignment horizontal="center" shrinkToFit="1"/>
      <protection hidden="1"/>
    </xf>
    <xf numFmtId="178" fontId="0" fillId="4" borderId="0" xfId="0" applyNumberFormat="1" applyFill="1" applyAlignment="1" applyProtection="1">
      <alignment horizontal="center" shrinkToFit="1"/>
      <protection hidden="1"/>
    </xf>
    <xf numFmtId="179" fontId="0" fillId="4" borderId="0" xfId="0" applyNumberFormat="1" applyFill="1" applyAlignment="1" applyProtection="1">
      <alignment shrinkToFit="1"/>
      <protection hidden="1"/>
    </xf>
    <xf numFmtId="178" fontId="89" fillId="4" borderId="0" xfId="0" applyNumberFormat="1" applyFont="1" applyFill="1" applyAlignment="1" applyProtection="1">
      <alignment shrinkToFit="1"/>
      <protection hidden="1"/>
    </xf>
    <xf numFmtId="0" fontId="104" fillId="4" borderId="0" xfId="0" applyFont="1" applyFill="1" applyAlignment="1" applyProtection="1">
      <alignment shrinkToFit="1"/>
      <protection hidden="1"/>
    </xf>
    <xf numFmtId="179" fontId="89" fillId="4" borderId="0" xfId="0" applyNumberFormat="1" applyFont="1" applyFill="1" applyAlignment="1" applyProtection="1">
      <alignment shrinkToFit="1"/>
      <protection hidden="1"/>
    </xf>
    <xf numFmtId="0" fontId="0" fillId="4" borderId="0" xfId="0" applyFill="1" applyAlignment="1" applyProtection="1">
      <alignment horizontal="center" shrinkToFit="1"/>
      <protection locked="0"/>
    </xf>
    <xf numFmtId="0" fontId="71" fillId="36" borderId="0" xfId="0" applyFont="1" applyFill="1" applyAlignment="1" quotePrefix="1">
      <alignment shrinkToFit="1"/>
    </xf>
    <xf numFmtId="0" fontId="0" fillId="4" borderId="0" xfId="0" applyFont="1" applyFill="1" applyAlignment="1" applyProtection="1">
      <alignment horizontal="center" shrinkToFit="1"/>
      <protection hidden="1"/>
    </xf>
    <xf numFmtId="0" fontId="71" fillId="0" borderId="0" xfId="0" applyFont="1" applyFill="1" applyAlignment="1">
      <alignment shrinkToFit="1"/>
    </xf>
    <xf numFmtId="0" fontId="5" fillId="36" borderId="0" xfId="0" applyFont="1" applyFill="1" applyAlignment="1" applyProtection="1">
      <alignment shrinkToFit="1"/>
      <protection hidden="1"/>
    </xf>
    <xf numFmtId="0" fontId="0" fillId="0" borderId="0" xfId="0" applyAlignment="1">
      <alignment shrinkToFit="1"/>
    </xf>
    <xf numFmtId="0" fontId="96" fillId="4" borderId="0" xfId="0" applyFont="1" applyFill="1" applyAlignment="1" quotePrefix="1">
      <alignment shrinkToFit="1"/>
    </xf>
    <xf numFmtId="0" fontId="0" fillId="4" borderId="0" xfId="0" applyFill="1" applyAlignment="1" applyProtection="1">
      <alignment vertical="top" shrinkToFit="1"/>
      <protection locked="0"/>
    </xf>
    <xf numFmtId="0" fontId="5" fillId="4" borderId="0" xfId="0" applyFont="1" applyFill="1" applyAlignment="1" applyProtection="1">
      <alignment shrinkToFit="1"/>
      <protection hidden="1"/>
    </xf>
    <xf numFmtId="0" fontId="5" fillId="0" borderId="0" xfId="0" applyFont="1" applyFill="1" applyAlignment="1">
      <alignment shrinkToFit="1"/>
    </xf>
    <xf numFmtId="0" fontId="5" fillId="36" borderId="0" xfId="0" applyFont="1" applyFill="1" applyAlignment="1">
      <alignment shrinkToFit="1"/>
    </xf>
    <xf numFmtId="2" fontId="71" fillId="36" borderId="0" xfId="0" applyNumberFormat="1" applyFont="1" applyFill="1" applyAlignment="1" quotePrefix="1">
      <alignment shrinkToFit="1"/>
    </xf>
    <xf numFmtId="0" fontId="0" fillId="0" borderId="0" xfId="0" applyFill="1" applyAlignment="1" applyProtection="1">
      <alignment shrinkToFit="1"/>
      <protection hidden="1"/>
    </xf>
    <xf numFmtId="2" fontId="5" fillId="4" borderId="0" xfId="0" applyNumberFormat="1" applyFont="1" applyFill="1" applyAlignment="1" applyProtection="1">
      <alignment shrinkToFit="1"/>
      <protection hidden="1"/>
    </xf>
    <xf numFmtId="2" fontId="0" fillId="4" borderId="0" xfId="0" applyNumberFormat="1" applyFont="1" applyFill="1" applyAlignment="1" applyProtection="1">
      <alignment shrinkToFit="1"/>
      <protection hidden="1"/>
    </xf>
    <xf numFmtId="178" fontId="96" fillId="4" borderId="0" xfId="0" applyNumberFormat="1" applyFont="1" applyFill="1" applyAlignment="1" applyProtection="1">
      <alignment shrinkToFit="1"/>
      <protection hidden="1"/>
    </xf>
    <xf numFmtId="2" fontId="0" fillId="4" borderId="0" xfId="75" applyNumberFormat="1" applyFont="1" applyFill="1" applyBorder="1" applyAlignment="1" applyProtection="1">
      <alignment vertical="top" shrinkToFit="1"/>
      <protection locked="0"/>
    </xf>
    <xf numFmtId="0" fontId="0" fillId="0" borderId="0" xfId="0" applyFill="1" applyAlignment="1">
      <alignment shrinkToFit="1"/>
    </xf>
    <xf numFmtId="0" fontId="105" fillId="36" borderId="0" xfId="0" applyFont="1" applyFill="1" applyAlignment="1" applyProtection="1">
      <alignment vertical="top" shrinkToFit="1"/>
      <protection hidden="1"/>
    </xf>
    <xf numFmtId="0" fontId="106" fillId="36" borderId="0" xfId="0" applyFont="1" applyFill="1" applyAlignment="1" applyProtection="1">
      <alignment horizontal="left" shrinkToFit="1"/>
      <protection hidden="1"/>
    </xf>
    <xf numFmtId="0" fontId="0" fillId="4" borderId="0" xfId="0" applyFont="1" applyFill="1" applyAlignment="1" applyProtection="1">
      <alignment horizontal="right"/>
      <protection hidden="1"/>
    </xf>
    <xf numFmtId="0" fontId="0" fillId="4" borderId="0" xfId="0" applyFont="1" applyFill="1" applyAlignment="1" applyProtection="1">
      <alignment horizontal="center"/>
      <protection hidden="1"/>
    </xf>
    <xf numFmtId="0" fontId="0" fillId="36" borderId="0" xfId="0" applyFill="1" applyAlignment="1" applyProtection="1">
      <alignment horizontal="center"/>
      <protection hidden="1"/>
    </xf>
    <xf numFmtId="14" fontId="0" fillId="36" borderId="0" xfId="0" applyNumberFormat="1" applyFill="1" applyAlignment="1" applyProtection="1">
      <alignment horizontal="left"/>
      <protection hidden="1"/>
    </xf>
    <xf numFmtId="0" fontId="0" fillId="36" borderId="0" xfId="0" applyFill="1" applyAlignment="1" applyProtection="1">
      <alignment horizontal="left"/>
      <protection hidden="1"/>
    </xf>
    <xf numFmtId="2" fontId="0" fillId="4" borderId="0" xfId="0" applyNumberFormat="1" applyFill="1" applyAlignment="1" applyProtection="1">
      <alignment/>
      <protection hidden="1"/>
    </xf>
    <xf numFmtId="0" fontId="107" fillId="36" borderId="0" xfId="0" applyFont="1" applyFill="1" applyAlignment="1" applyProtection="1">
      <alignment shrinkToFit="1"/>
      <protection hidden="1"/>
    </xf>
    <xf numFmtId="0" fontId="108" fillId="36" borderId="0" xfId="0" applyFont="1" applyFill="1" applyAlignment="1" applyProtection="1">
      <alignment vertical="top" shrinkToFit="1"/>
      <protection hidden="1"/>
    </xf>
    <xf numFmtId="0" fontId="90" fillId="36" borderId="0" xfId="0" applyFont="1" applyFill="1" applyAlignment="1" applyProtection="1">
      <alignment/>
      <protection hidden="1"/>
    </xf>
    <xf numFmtId="0" fontId="90" fillId="4" borderId="0" xfId="0" applyFont="1" applyFill="1" applyAlignment="1" applyProtection="1">
      <alignment shrinkToFit="1"/>
      <protection hidden="1"/>
    </xf>
    <xf numFmtId="20" fontId="0" fillId="36" borderId="0" xfId="0" applyNumberFormat="1" applyFill="1" applyAlignment="1" applyProtection="1">
      <alignment horizontal="left"/>
      <protection hidden="1"/>
    </xf>
    <xf numFmtId="20" fontId="0" fillId="36" borderId="0" xfId="0" applyNumberFormat="1" applyFill="1" applyAlignment="1" applyProtection="1">
      <alignment/>
      <protection hidden="1"/>
    </xf>
    <xf numFmtId="0" fontId="0" fillId="4" borderId="0" xfId="0" applyFill="1" applyAlignment="1" applyProtection="1">
      <alignment horizontal="right" shrinkToFit="1"/>
      <protection hidden="1"/>
    </xf>
    <xf numFmtId="0" fontId="0" fillId="4" borderId="0" xfId="0" applyFill="1" applyAlignment="1" applyProtection="1">
      <alignment shrinkToFit="1"/>
      <protection hidden="1"/>
    </xf>
    <xf numFmtId="0" fontId="89" fillId="4" borderId="0" xfId="0" applyFont="1" applyFill="1" applyAlignment="1" applyProtection="1">
      <alignment shrinkToFit="1"/>
      <protection hidden="1"/>
    </xf>
    <xf numFmtId="0" fontId="0" fillId="4" borderId="0" xfId="0" applyFill="1" applyAlignment="1" applyProtection="1">
      <alignment horizontal="left"/>
      <protection hidden="1"/>
    </xf>
    <xf numFmtId="0" fontId="0" fillId="4" borderId="0" xfId="0" applyFont="1" applyFill="1" applyAlignment="1" applyProtection="1">
      <alignment shrinkToFit="1"/>
      <protection locked="0"/>
    </xf>
    <xf numFmtId="2" fontId="0" fillId="4" borderId="0" xfId="0" applyNumberFormat="1" applyFill="1" applyAlignment="1" applyProtection="1">
      <alignment horizontal="right"/>
      <protection hidden="1"/>
    </xf>
    <xf numFmtId="2" fontId="89" fillId="4" borderId="0" xfId="0" applyNumberFormat="1" applyFont="1" applyFill="1" applyAlignment="1" applyProtection="1">
      <alignment horizontal="center"/>
      <protection hidden="1"/>
    </xf>
    <xf numFmtId="0" fontId="109" fillId="36" borderId="0" xfId="0" applyFont="1" applyFill="1" applyAlignment="1" applyProtection="1">
      <alignment shrinkToFit="1"/>
      <protection hidden="1"/>
    </xf>
    <xf numFmtId="0" fontId="95" fillId="36" borderId="0" xfId="0" applyFont="1" applyFill="1" applyAlignment="1" applyProtection="1">
      <alignment shrinkToFit="1"/>
      <protection hidden="1"/>
    </xf>
    <xf numFmtId="0" fontId="89" fillId="4" borderId="0" xfId="0" applyFont="1" applyFill="1" applyAlignment="1" applyProtection="1">
      <alignment shrinkToFit="1"/>
      <protection hidden="1"/>
    </xf>
    <xf numFmtId="0" fontId="110" fillId="4" borderId="0" xfId="0" applyFont="1" applyFill="1" applyAlignment="1" applyProtection="1">
      <alignment shrinkToFit="1"/>
      <protection hidden="1"/>
    </xf>
    <xf numFmtId="20" fontId="96" fillId="4" borderId="0" xfId="0" applyNumberFormat="1" applyFont="1" applyFill="1" applyAlignment="1" applyProtection="1">
      <alignment shrinkToFit="1"/>
      <protection hidden="1"/>
    </xf>
    <xf numFmtId="1" fontId="71" fillId="36" borderId="0" xfId="0" applyNumberFormat="1" applyFont="1" applyFill="1" applyAlignment="1" quotePrefix="1">
      <alignment shrinkToFit="1"/>
    </xf>
    <xf numFmtId="0" fontId="96" fillId="4" borderId="0" xfId="0" applyFont="1" applyFill="1" applyAlignment="1" applyProtection="1">
      <alignment horizontal="center" shrinkToFit="1"/>
      <protection hidden="1"/>
    </xf>
    <xf numFmtId="0" fontId="0" fillId="36" borderId="0" xfId="0" applyFill="1" applyAlignment="1" applyProtection="1">
      <alignment horizontal="center" shrinkToFit="1"/>
      <protection locked="0"/>
    </xf>
    <xf numFmtId="0" fontId="0" fillId="4" borderId="0" xfId="0" applyFill="1" applyAlignment="1" applyProtection="1">
      <alignment horizontal="center" shrinkToFit="1"/>
      <protection hidden="1"/>
    </xf>
    <xf numFmtId="0" fontId="71" fillId="36" borderId="0" xfId="0" applyFont="1" applyFill="1" applyAlignment="1" applyProtection="1">
      <alignment horizontal="center" shrinkToFit="1"/>
      <protection hidden="1"/>
    </xf>
    <xf numFmtId="179" fontId="111" fillId="4" borderId="0" xfId="0" applyNumberFormat="1" applyFont="1" applyFill="1" applyAlignment="1" applyProtection="1">
      <alignment horizontal="center" shrinkToFit="1"/>
      <protection hidden="1"/>
    </xf>
    <xf numFmtId="0" fontId="89" fillId="0" borderId="17" xfId="75" applyNumberFormat="1" applyFont="1" applyBorder="1" applyAlignment="1" applyProtection="1">
      <alignment horizontal="center" vertical="top" shrinkToFit="1"/>
      <protection locked="0"/>
    </xf>
    <xf numFmtId="0" fontId="89" fillId="0" borderId="0" xfId="75" applyNumberFormat="1" applyFont="1" applyBorder="1" applyAlignment="1" applyProtection="1">
      <alignment horizontal="center" vertical="top" shrinkToFit="1"/>
      <protection locked="0"/>
    </xf>
    <xf numFmtId="0" fontId="0" fillId="0" borderId="0" xfId="0" applyAlignment="1" applyProtection="1">
      <alignment horizontal="left" shrinkToFit="1"/>
      <protection locked="0"/>
    </xf>
    <xf numFmtId="0" fontId="0" fillId="0" borderId="0" xfId="0" applyAlignment="1" applyProtection="1">
      <alignment horizontal="center" shrinkToFit="1"/>
      <protection locked="0"/>
    </xf>
    <xf numFmtId="0" fontId="89" fillId="0" borderId="18" xfId="75" applyNumberFormat="1" applyFont="1" applyBorder="1" applyAlignment="1" applyProtection="1">
      <alignment horizontal="left" vertical="top" shrinkToFit="1"/>
      <protection locked="0"/>
    </xf>
    <xf numFmtId="0" fontId="89" fillId="0" borderId="17" xfId="75" applyNumberFormat="1" applyFont="1" applyBorder="1" applyAlignment="1" applyProtection="1">
      <alignment horizontal="left" vertical="top" shrinkToFit="1"/>
      <protection locked="0"/>
    </xf>
    <xf numFmtId="0" fontId="89" fillId="0" borderId="19" xfId="75" applyNumberFormat="1" applyFont="1" applyBorder="1" applyAlignment="1" applyProtection="1">
      <alignment horizontal="left" vertical="top" shrinkToFit="1"/>
      <protection locked="0"/>
    </xf>
    <xf numFmtId="0" fontId="89" fillId="0" borderId="0" xfId="75" applyNumberFormat="1" applyFont="1" applyBorder="1" applyAlignment="1" applyProtection="1">
      <alignment horizontal="left" vertical="top" shrinkToFit="1"/>
      <protection locked="0"/>
    </xf>
    <xf numFmtId="0" fontId="89" fillId="4" borderId="0" xfId="0" applyFont="1" applyFill="1" applyAlignment="1" applyProtection="1">
      <alignment horizontal="center" shrinkToFit="1"/>
      <protection hidden="1"/>
    </xf>
    <xf numFmtId="2" fontId="0" fillId="4" borderId="0" xfId="0" applyNumberFormat="1" applyFill="1" applyAlignment="1" applyProtection="1">
      <alignment horizontal="center" shrinkToFit="1"/>
      <protection hidden="1"/>
    </xf>
    <xf numFmtId="0" fontId="110" fillId="4" borderId="0" xfId="0" applyFont="1" applyFill="1" applyAlignment="1" applyProtection="1">
      <alignment horizontal="center" shrinkToFit="1"/>
      <protection hidden="1"/>
    </xf>
    <xf numFmtId="178" fontId="0" fillId="4" borderId="0" xfId="0" applyNumberFormat="1" applyFill="1" applyAlignment="1" applyProtection="1">
      <alignment horizontal="center" shrinkToFit="1"/>
      <protection/>
    </xf>
    <xf numFmtId="0" fontId="0" fillId="36" borderId="0" xfId="0" applyFill="1" applyAlignment="1" applyProtection="1">
      <alignment horizontal="left" vertical="top" wrapText="1"/>
      <protection hidden="1"/>
    </xf>
    <xf numFmtId="0" fontId="109" fillId="36" borderId="0" xfId="0" applyFont="1" applyFill="1" applyAlignment="1" applyProtection="1">
      <alignment horizontal="center" shrinkToFit="1"/>
      <protection hidden="1"/>
    </xf>
    <xf numFmtId="2" fontId="0" fillId="4" borderId="0" xfId="0" applyNumberFormat="1" applyFill="1" applyAlignment="1" applyProtection="1">
      <alignment horizontal="right" shrinkToFit="1"/>
      <protection hidden="1"/>
    </xf>
    <xf numFmtId="2" fontId="89" fillId="4" borderId="0" xfId="0" applyNumberFormat="1" applyFont="1" applyFill="1" applyAlignment="1" applyProtection="1">
      <alignment horizontal="center" shrinkToFit="1"/>
      <protection hidden="1"/>
    </xf>
    <xf numFmtId="178" fontId="89" fillId="4" borderId="0" xfId="0" applyNumberFormat="1" applyFont="1" applyFill="1" applyAlignment="1" applyProtection="1">
      <alignment horizontal="center" shrinkToFit="1"/>
      <protection hidden="1"/>
    </xf>
    <xf numFmtId="0" fontId="89" fillId="4" borderId="0" xfId="0" applyFont="1" applyFill="1" applyAlignment="1" applyProtection="1" quotePrefix="1">
      <alignment horizontal="center" shrinkToFit="1"/>
      <protection hidden="1"/>
    </xf>
    <xf numFmtId="2" fontId="0" fillId="4" borderId="0" xfId="0" applyNumberFormat="1" applyFill="1" applyAlignment="1" applyProtection="1">
      <alignment horizontal="left" shrinkToFit="1"/>
      <protection hidden="1"/>
    </xf>
    <xf numFmtId="0" fontId="90" fillId="4" borderId="0" xfId="0" applyFont="1" applyFill="1" applyAlignment="1">
      <alignment horizontal="center" shrinkToFit="1"/>
    </xf>
    <xf numFmtId="0" fontId="112" fillId="37" borderId="0" xfId="57" applyFont="1" applyFill="1" applyAlignment="1" applyProtection="1" quotePrefix="1">
      <alignment horizontal="center" shrinkToFit="1"/>
      <protection hidden="1"/>
    </xf>
    <xf numFmtId="0" fontId="112" fillId="37" borderId="0" xfId="57" applyFont="1" applyFill="1" applyAlignment="1" applyProtection="1">
      <alignment horizontal="center" shrinkToFit="1"/>
      <protection hidden="1"/>
    </xf>
    <xf numFmtId="0" fontId="0" fillId="36" borderId="0" xfId="0" applyFill="1" applyAlignment="1" applyProtection="1">
      <alignment horizontal="left" shrinkToFit="1"/>
      <protection locked="0"/>
    </xf>
    <xf numFmtId="0" fontId="95" fillId="37" borderId="0" xfId="0" applyFont="1" applyFill="1" applyAlignment="1" applyProtection="1">
      <alignment horizontal="center" shrinkToFit="1"/>
      <protection hidden="1"/>
    </xf>
    <xf numFmtId="0" fontId="0" fillId="36" borderId="0" xfId="0" applyFont="1" applyFill="1" applyAlignment="1" applyProtection="1">
      <alignment horizontal="center" shrinkToFit="1"/>
      <protection locked="0"/>
    </xf>
    <xf numFmtId="0" fontId="0" fillId="36" borderId="0" xfId="0" applyFont="1" applyFill="1" applyAlignment="1" applyProtection="1">
      <alignment horizontal="left" shrinkToFit="1"/>
      <protection locked="0"/>
    </xf>
    <xf numFmtId="179" fontId="0" fillId="4" borderId="0" xfId="0" applyNumberFormat="1" applyFill="1" applyAlignment="1" applyProtection="1">
      <alignment horizontal="left" shrinkToFit="1"/>
      <protection hidden="1"/>
    </xf>
    <xf numFmtId="179" fontId="0" fillId="4" borderId="0" xfId="0" applyNumberFormat="1" applyFill="1" applyAlignment="1" applyProtection="1">
      <alignment horizontal="center" shrinkToFit="1"/>
      <protection hidden="1"/>
    </xf>
    <xf numFmtId="0" fontId="0" fillId="36" borderId="0" xfId="0" applyFill="1" applyAlignment="1" applyProtection="1">
      <alignment horizontal="left" vertical="top" wrapText="1"/>
      <protection locked="0"/>
    </xf>
    <xf numFmtId="0" fontId="0" fillId="4" borderId="0" xfId="0" applyFill="1" applyAlignment="1" applyProtection="1">
      <alignment horizontal="left" shrinkToFit="1"/>
      <protection hidden="1"/>
    </xf>
    <xf numFmtId="0" fontId="0" fillId="4" borderId="0" xfId="0" applyFill="1" applyAlignment="1" applyProtection="1">
      <alignment horizontal="right" shrinkToFit="1"/>
      <protection hidden="1"/>
    </xf>
    <xf numFmtId="0" fontId="0" fillId="0" borderId="0" xfId="0" applyFill="1" applyAlignment="1" applyProtection="1">
      <alignment horizontal="left" shrinkToFit="1"/>
      <protection locked="0"/>
    </xf>
    <xf numFmtId="0" fontId="93" fillId="4" borderId="0" xfId="0" applyFont="1" applyFill="1" applyAlignment="1">
      <alignment horizontal="right" shrinkToFit="1"/>
    </xf>
    <xf numFmtId="0" fontId="81" fillId="36" borderId="0" xfId="57" applyFill="1" applyAlignment="1" applyProtection="1">
      <alignment horizontal="left" wrapText="1" shrinkToFit="1"/>
      <protection locked="0"/>
    </xf>
    <xf numFmtId="0" fontId="104" fillId="4" borderId="0" xfId="0" applyFont="1" applyFill="1" applyAlignment="1" applyProtection="1">
      <alignment horizontal="center" shrinkToFit="1"/>
      <protection hidden="1"/>
    </xf>
    <xf numFmtId="0" fontId="89" fillId="4" borderId="0" xfId="0" applyFont="1" applyFill="1" applyAlignment="1" applyProtection="1">
      <alignment horizontal="right" shrinkToFit="1"/>
      <protection hidden="1"/>
    </xf>
    <xf numFmtId="179" fontId="0" fillId="0" borderId="18" xfId="75" applyNumberFormat="1" applyFont="1" applyBorder="1" applyAlignment="1" applyProtection="1">
      <alignment horizontal="center" vertical="top" shrinkToFit="1"/>
      <protection locked="0"/>
    </xf>
    <xf numFmtId="179" fontId="0" fillId="0" borderId="17" xfId="75" applyNumberFormat="1" applyFont="1" applyBorder="1" applyAlignment="1" applyProtection="1">
      <alignment horizontal="center" vertical="top" shrinkToFit="1"/>
      <protection locked="0"/>
    </xf>
    <xf numFmtId="179" fontId="0" fillId="0" borderId="19" xfId="75" applyNumberFormat="1" applyFont="1" applyBorder="1" applyAlignment="1" applyProtection="1">
      <alignment horizontal="center" vertical="top" shrinkToFit="1"/>
      <protection locked="0"/>
    </xf>
    <xf numFmtId="179" fontId="0" fillId="0" borderId="0" xfId="75" applyNumberFormat="1" applyFont="1" applyBorder="1" applyAlignment="1" applyProtection="1">
      <alignment horizontal="center" vertical="top" shrinkToFit="1"/>
      <protection locked="0"/>
    </xf>
    <xf numFmtId="0" fontId="0" fillId="0" borderId="18" xfId="75" applyNumberFormat="1" applyFont="1" applyBorder="1" applyAlignment="1" applyProtection="1">
      <alignment horizontal="left" vertical="top" shrinkToFit="1"/>
      <protection locked="0"/>
    </xf>
    <xf numFmtId="0" fontId="0" fillId="0" borderId="17" xfId="75" applyNumberFormat="1" applyFont="1" applyBorder="1" applyAlignment="1" applyProtection="1">
      <alignment horizontal="left" vertical="top" shrinkToFit="1"/>
      <protection locked="0"/>
    </xf>
    <xf numFmtId="0" fontId="0" fillId="0" borderId="19" xfId="75" applyNumberFormat="1" applyFont="1" applyBorder="1" applyAlignment="1" applyProtection="1">
      <alignment horizontal="left" vertical="top" shrinkToFit="1"/>
      <protection locked="0"/>
    </xf>
    <xf numFmtId="0" fontId="0" fillId="0" borderId="0" xfId="75" applyNumberFormat="1" applyFont="1" applyBorder="1" applyAlignment="1" applyProtection="1">
      <alignment horizontal="left" vertical="top" shrinkToFit="1"/>
      <protection locked="0"/>
    </xf>
    <xf numFmtId="0" fontId="0" fillId="4" borderId="0" xfId="0" applyFill="1" applyAlignment="1" applyProtection="1" quotePrefix="1">
      <alignment horizontal="center" shrinkToFit="1"/>
      <protection hidden="1"/>
    </xf>
    <xf numFmtId="0" fontId="96" fillId="4" borderId="0" xfId="0" applyNumberFormat="1" applyFont="1" applyFill="1" applyAlignment="1" applyProtection="1">
      <alignment horizontal="center" shrinkToFit="1"/>
      <protection hidden="1"/>
    </xf>
    <xf numFmtId="1" fontId="0" fillId="36" borderId="0" xfId="0" applyNumberFormat="1" applyFill="1" applyAlignment="1" applyProtection="1">
      <alignment horizontal="center" shrinkToFit="1"/>
      <protection locked="0"/>
    </xf>
    <xf numFmtId="0" fontId="89" fillId="4" borderId="20" xfId="0" applyFont="1" applyFill="1" applyBorder="1" applyAlignment="1" applyProtection="1">
      <alignment horizontal="right" shrinkToFit="1"/>
      <protection hidden="1"/>
    </xf>
    <xf numFmtId="0" fontId="90" fillId="36" borderId="0" xfId="0" applyFont="1" applyFill="1" applyAlignment="1" applyProtection="1">
      <alignment horizontal="center" shrinkToFit="1"/>
      <protection hidden="1"/>
    </xf>
    <xf numFmtId="0" fontId="0" fillId="36" borderId="0" xfId="0" applyFill="1" applyAlignment="1" applyProtection="1">
      <alignment horizontal="center" shrinkToFit="1"/>
      <protection hidden="1"/>
    </xf>
    <xf numFmtId="0" fontId="113" fillId="36" borderId="0" xfId="0" applyFont="1" applyFill="1" applyAlignment="1" applyProtection="1">
      <alignment/>
      <protection hidden="1"/>
    </xf>
    <xf numFmtId="0" fontId="94" fillId="37" borderId="0" xfId="0" applyFont="1" applyFill="1" applyAlignment="1" applyProtection="1">
      <alignment horizontal="left" vertical="center" shrinkToFit="1"/>
      <protection hidden="1"/>
    </xf>
    <xf numFmtId="0" fontId="94" fillId="37" borderId="0" xfId="0" applyFont="1" applyFill="1" applyAlignment="1" applyProtection="1">
      <alignment horizontal="right" vertical="center" shrinkToFit="1"/>
      <protection hidden="1"/>
    </xf>
    <xf numFmtId="0" fontId="114" fillId="37" borderId="0" xfId="57" applyFont="1" applyFill="1" applyAlignment="1" applyProtection="1">
      <alignment horizontal="center" vertical="center" shrinkToFit="1"/>
      <protection locked="0"/>
    </xf>
    <xf numFmtId="0" fontId="115" fillId="37" borderId="0" xfId="0" applyFont="1" applyFill="1" applyAlignment="1" applyProtection="1">
      <alignment horizontal="left" vertical="center" shrinkToFit="1"/>
      <protection hidden="1"/>
    </xf>
    <xf numFmtId="0" fontId="116" fillId="37" borderId="0" xfId="0" applyFont="1" applyFill="1" applyAlignment="1" applyProtection="1">
      <alignment horizontal="center" vertical="center" shrinkToFit="1"/>
      <protection hidden="1"/>
    </xf>
    <xf numFmtId="0" fontId="71" fillId="37" borderId="0" xfId="0" applyFont="1" applyFill="1" applyAlignment="1" applyProtection="1">
      <alignment horizontal="center" vertical="center" shrinkToFit="1"/>
      <protection hidden="1"/>
    </xf>
    <xf numFmtId="0" fontId="0" fillId="4" borderId="0" xfId="0" applyFill="1" applyAlignment="1" applyProtection="1">
      <alignment horizontal="right" vertical="center" shrinkToFit="1"/>
      <protection hidden="1"/>
    </xf>
    <xf numFmtId="0" fontId="0" fillId="36" borderId="0" xfId="0" applyFill="1" applyAlignment="1" applyProtection="1">
      <alignment horizontal="center" vertical="center" shrinkToFit="1"/>
      <protection locked="0"/>
    </xf>
    <xf numFmtId="178" fontId="0" fillId="4" borderId="0" xfId="0" applyNumberFormat="1" applyFill="1" applyAlignment="1" applyProtection="1">
      <alignment horizontal="center" shrinkToFit="1"/>
      <protection hidden="1"/>
    </xf>
    <xf numFmtId="1" fontId="89" fillId="4" borderId="18" xfId="75" applyNumberFormat="1" applyFont="1" applyFill="1" applyBorder="1" applyAlignment="1" applyProtection="1">
      <alignment horizontal="center" vertical="top" shrinkToFit="1"/>
      <protection hidden="1"/>
    </xf>
    <xf numFmtId="1" fontId="89" fillId="4" borderId="17" xfId="75" applyNumberFormat="1" applyFont="1" applyFill="1" applyBorder="1" applyAlignment="1" applyProtection="1">
      <alignment horizontal="center" vertical="top" shrinkToFit="1"/>
      <protection hidden="1"/>
    </xf>
    <xf numFmtId="1" fontId="89" fillId="4" borderId="19" xfId="75" applyNumberFormat="1" applyFont="1" applyFill="1" applyBorder="1" applyAlignment="1" applyProtection="1">
      <alignment horizontal="center" vertical="top" shrinkToFit="1"/>
      <protection hidden="1"/>
    </xf>
    <xf numFmtId="1" fontId="89" fillId="4" borderId="0" xfId="75" applyNumberFormat="1" applyFont="1" applyFill="1" applyBorder="1" applyAlignment="1" applyProtection="1">
      <alignment horizontal="center" vertical="top" shrinkToFit="1"/>
      <protection hidden="1"/>
    </xf>
    <xf numFmtId="0" fontId="74" fillId="33" borderId="0" xfId="0" applyFont="1" applyFill="1" applyAlignment="1" applyProtection="1">
      <alignment horizontal="center" shrinkToFit="1"/>
      <protection hidden="1"/>
    </xf>
    <xf numFmtId="0" fontId="0" fillId="36" borderId="0" xfId="0" applyNumberFormat="1" applyFill="1" applyAlignment="1" applyProtection="1">
      <alignment horizontal="left" shrinkToFit="1"/>
      <protection locked="0"/>
    </xf>
    <xf numFmtId="0" fontId="0" fillId="36" borderId="0" xfId="0" applyNumberFormat="1" applyFill="1" applyAlignment="1" applyProtection="1">
      <alignment horizontal="center" shrinkToFit="1"/>
      <protection locked="0"/>
    </xf>
    <xf numFmtId="0" fontId="0" fillId="4" borderId="0" xfId="0" applyFont="1" applyFill="1" applyAlignment="1" applyProtection="1">
      <alignment horizontal="left" shrinkToFit="1"/>
      <protection hidden="1"/>
    </xf>
    <xf numFmtId="178" fontId="0" fillId="36" borderId="0" xfId="0" applyNumberFormat="1" applyFill="1" applyAlignment="1" applyProtection="1">
      <alignment horizontal="center" shrinkToFit="1"/>
      <protection locked="0"/>
    </xf>
    <xf numFmtId="0" fontId="0" fillId="0" borderId="0" xfId="0" applyNumberFormat="1" applyAlignment="1" applyProtection="1">
      <alignment horizontal="center" shrinkToFit="1"/>
      <protection locked="0"/>
    </xf>
    <xf numFmtId="0" fontId="0" fillId="4" borderId="0" xfId="0" applyNumberFormat="1" applyFill="1" applyAlignment="1" applyProtection="1">
      <alignment horizontal="center" shrinkToFit="1"/>
      <protection hidden="1"/>
    </xf>
    <xf numFmtId="0" fontId="71" fillId="36" borderId="0" xfId="0" applyFont="1" applyFill="1" applyAlignment="1" applyProtection="1" quotePrefix="1">
      <alignment horizontal="center" shrinkToFit="1"/>
      <protection hidden="1"/>
    </xf>
    <xf numFmtId="0" fontId="0" fillId="4" borderId="0" xfId="0" applyFill="1" applyAlignment="1" applyProtection="1" quotePrefix="1">
      <alignment horizontal="left" shrinkToFit="1"/>
      <protection hidden="1"/>
    </xf>
    <xf numFmtId="1" fontId="0" fillId="4" borderId="0" xfId="0" applyNumberFormat="1" applyFill="1" applyAlignment="1" applyProtection="1">
      <alignment horizontal="center"/>
      <protection hidden="1"/>
    </xf>
    <xf numFmtId="0" fontId="0" fillId="4" borderId="0" xfId="0" applyFont="1" applyFill="1" applyAlignment="1" applyProtection="1">
      <alignment horizontal="center" shrinkToFit="1"/>
      <protection hidden="1"/>
    </xf>
    <xf numFmtId="0" fontId="89" fillId="4" borderId="0" xfId="0" applyFont="1" applyFill="1" applyAlignment="1">
      <alignment horizontal="center" shrinkToFit="1"/>
    </xf>
    <xf numFmtId="1" fontId="0" fillId="4" borderId="0" xfId="0" applyNumberFormat="1" applyFill="1" applyAlignment="1" applyProtection="1">
      <alignment horizontal="center" shrinkToFit="1"/>
      <protection hidden="1"/>
    </xf>
    <xf numFmtId="0" fontId="0" fillId="4" borderId="0" xfId="0" applyFill="1" applyAlignment="1" applyProtection="1">
      <alignment shrinkToFit="1"/>
      <protection hidden="1"/>
    </xf>
    <xf numFmtId="196" fontId="74" fillId="33" borderId="0" xfId="0" applyNumberFormat="1" applyFont="1" applyFill="1" applyAlignment="1" applyProtection="1">
      <alignment horizontal="center" shrinkToFit="1"/>
      <protection hidden="1"/>
    </xf>
    <xf numFmtId="0" fontId="117" fillId="36" borderId="0" xfId="0" applyFont="1" applyFill="1" applyAlignment="1" applyProtection="1">
      <alignment horizontal="left" vertical="top" wrapText="1"/>
      <protection hidden="1"/>
    </xf>
    <xf numFmtId="20" fontId="0" fillId="36" borderId="0" xfId="0" applyNumberFormat="1" applyFill="1" applyAlignment="1" applyProtection="1">
      <alignment horizontal="left" shrinkToFit="1"/>
      <protection locked="0"/>
    </xf>
    <xf numFmtId="178" fontId="0" fillId="0" borderId="0" xfId="0" applyNumberFormat="1" applyAlignment="1" applyProtection="1">
      <alignment horizontal="center" shrinkToFit="1"/>
      <protection locked="0"/>
    </xf>
    <xf numFmtId="178" fontId="89" fillId="4" borderId="18" xfId="75" applyNumberFormat="1" applyFont="1" applyFill="1" applyBorder="1" applyAlignment="1" applyProtection="1">
      <alignment horizontal="center" vertical="top" shrinkToFit="1"/>
      <protection hidden="1"/>
    </xf>
    <xf numFmtId="178" fontId="89" fillId="4" borderId="17" xfId="75" applyNumberFormat="1" applyFont="1" applyFill="1" applyBorder="1" applyAlignment="1" applyProtection="1">
      <alignment horizontal="center" vertical="top" shrinkToFit="1"/>
      <protection hidden="1"/>
    </xf>
    <xf numFmtId="178" fontId="89" fillId="4" borderId="19" xfId="75" applyNumberFormat="1" applyFont="1" applyFill="1" applyBorder="1" applyAlignment="1" applyProtection="1">
      <alignment horizontal="center" vertical="top" shrinkToFit="1"/>
      <protection hidden="1"/>
    </xf>
    <xf numFmtId="178" fontId="89" fillId="4" borderId="0" xfId="75" applyNumberFormat="1" applyFont="1" applyFill="1" applyBorder="1" applyAlignment="1" applyProtection="1">
      <alignment horizontal="center" vertical="top" shrinkToFit="1"/>
      <protection hidden="1"/>
    </xf>
    <xf numFmtId="198" fontId="0" fillId="0" borderId="0" xfId="0" applyNumberFormat="1" applyAlignment="1" applyProtection="1">
      <alignment horizontal="center" shrinkToFit="1"/>
      <protection locked="0"/>
    </xf>
    <xf numFmtId="2" fontId="0" fillId="0" borderId="0" xfId="0" applyNumberFormat="1" applyAlignment="1" applyProtection="1">
      <alignment horizontal="center" shrinkToFit="1"/>
      <protection locked="0"/>
    </xf>
    <xf numFmtId="2" fontId="0" fillId="4" borderId="0" xfId="0" applyNumberFormat="1" applyFont="1" applyFill="1" applyAlignment="1" applyProtection="1">
      <alignment horizontal="center" shrinkToFit="1"/>
      <protection hidden="1"/>
    </xf>
    <xf numFmtId="2" fontId="89" fillId="4" borderId="18" xfId="75" applyNumberFormat="1" applyFont="1" applyFill="1" applyBorder="1" applyAlignment="1" applyProtection="1">
      <alignment horizontal="center" vertical="top" shrinkToFit="1"/>
      <protection hidden="1"/>
    </xf>
    <xf numFmtId="2" fontId="89" fillId="4" borderId="17" xfId="75" applyNumberFormat="1" applyFont="1" applyFill="1" applyBorder="1" applyAlignment="1" applyProtection="1">
      <alignment horizontal="center" vertical="top" shrinkToFit="1"/>
      <protection hidden="1"/>
    </xf>
    <xf numFmtId="2" fontId="89" fillId="4" borderId="19" xfId="75" applyNumberFormat="1" applyFont="1" applyFill="1" applyBorder="1" applyAlignment="1" applyProtection="1">
      <alignment horizontal="center" vertical="top" shrinkToFit="1"/>
      <protection hidden="1"/>
    </xf>
    <xf numFmtId="2" fontId="89" fillId="4" borderId="0" xfId="75" applyNumberFormat="1" applyFont="1" applyFill="1" applyBorder="1" applyAlignment="1" applyProtection="1">
      <alignment horizontal="center" vertical="top" shrinkToFit="1"/>
      <protection hidden="1"/>
    </xf>
    <xf numFmtId="0" fontId="0" fillId="4" borderId="0" xfId="0" applyFill="1" applyAlignment="1" applyProtection="1">
      <alignment horizontal="center" vertical="top" wrapText="1"/>
      <protection hidden="1"/>
    </xf>
    <xf numFmtId="0" fontId="89" fillId="4" borderId="0" xfId="0" applyFont="1" applyFill="1" applyAlignment="1" applyProtection="1">
      <alignment horizontal="left" shrinkToFit="1"/>
      <protection hidden="1"/>
    </xf>
    <xf numFmtId="0" fontId="95" fillId="33" borderId="0" xfId="0" applyFont="1" applyFill="1" applyAlignment="1" applyProtection="1">
      <alignment horizontal="center" shrinkToFit="1"/>
      <protection hidden="1"/>
    </xf>
    <xf numFmtId="0" fontId="118" fillId="0" borderId="0" xfId="0" applyFont="1" applyAlignment="1" applyProtection="1">
      <alignment horizontal="left" shrinkToFit="1"/>
      <protection hidden="1"/>
    </xf>
    <xf numFmtId="0" fontId="119" fillId="37" borderId="0" xfId="0" applyFont="1" applyFill="1" applyAlignment="1" applyProtection="1">
      <alignment horizontal="center" vertical="center" shrinkToFit="1"/>
      <protection hidden="1"/>
    </xf>
    <xf numFmtId="0" fontId="95" fillId="37" borderId="0" xfId="0" applyFont="1" applyFill="1" applyAlignment="1" applyProtection="1">
      <alignment horizontal="center" vertical="center" shrinkToFit="1"/>
      <protection hidden="1"/>
    </xf>
    <xf numFmtId="196" fontId="89" fillId="36" borderId="0" xfId="0" applyNumberFormat="1" applyFont="1" applyFill="1" applyAlignment="1" applyProtection="1">
      <alignment horizontal="center" vertical="center" shrinkToFit="1"/>
      <protection locked="0"/>
    </xf>
    <xf numFmtId="0" fontId="12" fillId="37" borderId="0" xfId="0" applyFont="1" applyFill="1" applyAlignment="1" applyProtection="1">
      <alignment horizontal="left" shrinkToFit="1"/>
      <protection hidden="1"/>
    </xf>
    <xf numFmtId="0" fontId="120" fillId="37" borderId="0" xfId="0" applyFont="1" applyFill="1" applyAlignment="1" applyProtection="1">
      <alignment horizontal="left" shrinkToFit="1"/>
      <protection hidden="1"/>
    </xf>
    <xf numFmtId="0" fontId="121" fillId="4" borderId="0" xfId="0" applyFont="1" applyFill="1" applyAlignment="1" applyProtection="1">
      <alignment horizontal="center" vertical="center" shrinkToFit="1"/>
      <protection hidden="1"/>
    </xf>
    <xf numFmtId="0" fontId="122" fillId="37" borderId="0" xfId="0" applyFont="1" applyFill="1" applyAlignment="1" applyProtection="1">
      <alignment horizontal="left" shrinkToFit="1"/>
      <protection hidden="1"/>
    </xf>
    <xf numFmtId="0" fontId="94" fillId="37" borderId="0" xfId="0" applyFont="1" applyFill="1" applyAlignment="1" applyProtection="1">
      <alignment horizontal="center" vertical="center" shrinkToFit="1"/>
      <protection hidden="1"/>
    </xf>
    <xf numFmtId="0" fontId="123" fillId="37" borderId="0" xfId="57" applyFont="1" applyFill="1" applyAlignment="1" applyProtection="1">
      <alignment horizontal="center" shrinkToFit="1"/>
      <protection locked="0"/>
    </xf>
    <xf numFmtId="0" fontId="124" fillId="37" borderId="0" xfId="0" applyFont="1" applyFill="1" applyAlignment="1" applyProtection="1">
      <alignment horizontal="left" shrinkToFit="1"/>
      <protection hidden="1"/>
    </xf>
    <xf numFmtId="0" fontId="89" fillId="4" borderId="0" xfId="0" applyFont="1" applyFill="1" applyAlignment="1" applyProtection="1">
      <alignment shrinkToFit="1"/>
      <protection hidden="1"/>
    </xf>
    <xf numFmtId="0" fontId="0" fillId="4" borderId="0" xfId="0" applyFill="1" applyAlignment="1" applyProtection="1">
      <alignment horizontal="left" vertical="center" shrinkToFit="1"/>
      <protection hidden="1"/>
    </xf>
    <xf numFmtId="0" fontId="0" fillId="4" borderId="0" xfId="0" applyFont="1" applyFill="1" applyAlignment="1" applyProtection="1">
      <alignment horizontal="left" vertical="center" shrinkToFit="1"/>
      <protection hidden="1"/>
    </xf>
    <xf numFmtId="0" fontId="89" fillId="4" borderId="0" xfId="0" applyFont="1" applyFill="1" applyAlignment="1" applyProtection="1">
      <alignment horizontal="right" vertical="center" shrinkToFit="1"/>
      <protection hidden="1"/>
    </xf>
    <xf numFmtId="179" fontId="0" fillId="36" borderId="0" xfId="0" applyNumberFormat="1" applyFont="1" applyFill="1" applyAlignment="1" applyProtection="1">
      <alignment horizontal="center" shrinkToFit="1"/>
      <protection locked="0"/>
    </xf>
    <xf numFmtId="0" fontId="95" fillId="33" borderId="0" xfId="0" applyFont="1" applyFill="1" applyAlignment="1" applyProtection="1">
      <alignment horizontal="right" shrinkToFit="1"/>
      <protection hidden="1"/>
    </xf>
    <xf numFmtId="0" fontId="90" fillId="4" borderId="0" xfId="0" applyFont="1" applyFill="1" applyAlignment="1" applyProtection="1">
      <alignment horizontal="center" shrinkToFit="1"/>
      <protection hidden="1"/>
    </xf>
    <xf numFmtId="0" fontId="0" fillId="4" borderId="0" xfId="0" applyFill="1" applyAlignment="1" applyProtection="1">
      <alignment horizontal="center" vertical="center" shrinkToFit="1"/>
      <protection hidden="1"/>
    </xf>
    <xf numFmtId="179" fontId="89" fillId="4" borderId="0" xfId="0" applyNumberFormat="1" applyFont="1" applyFill="1" applyAlignment="1" applyProtection="1">
      <alignment horizontal="left" shrinkToFit="1"/>
      <protection hidden="1"/>
    </xf>
    <xf numFmtId="178" fontId="0" fillId="0" borderId="18" xfId="75" applyNumberFormat="1" applyFont="1" applyBorder="1" applyAlignment="1" applyProtection="1">
      <alignment horizontal="center" vertical="top" shrinkToFit="1"/>
      <protection locked="0"/>
    </xf>
    <xf numFmtId="178" fontId="0" fillId="0" borderId="17" xfId="75" applyNumberFormat="1" applyFont="1" applyBorder="1" applyAlignment="1" applyProtection="1">
      <alignment horizontal="center" vertical="top" shrinkToFit="1"/>
      <protection locked="0"/>
    </xf>
    <xf numFmtId="178" fontId="0" fillId="0" borderId="19" xfId="75" applyNumberFormat="1" applyFont="1" applyBorder="1" applyAlignment="1" applyProtection="1">
      <alignment horizontal="center" vertical="top" shrinkToFit="1"/>
      <protection locked="0"/>
    </xf>
    <xf numFmtId="178" fontId="0" fillId="0" borderId="0" xfId="75" applyNumberFormat="1" applyFont="1" applyBorder="1" applyAlignment="1" applyProtection="1">
      <alignment horizontal="center" vertical="top" shrinkToFit="1"/>
      <protection locked="0"/>
    </xf>
    <xf numFmtId="0" fontId="89" fillId="4" borderId="0" xfId="0" applyFont="1" applyFill="1" applyAlignment="1" applyProtection="1">
      <alignment horizontal="center" vertical="center" wrapText="1" shrinkToFit="1"/>
      <protection hidden="1"/>
    </xf>
    <xf numFmtId="2" fontId="0" fillId="0" borderId="18" xfId="75" applyNumberFormat="1" applyFont="1" applyBorder="1" applyAlignment="1" applyProtection="1">
      <alignment horizontal="center" vertical="top" shrinkToFit="1"/>
      <protection locked="0"/>
    </xf>
    <xf numFmtId="2" fontId="0" fillId="0" borderId="17" xfId="75" applyNumberFormat="1" applyFont="1" applyBorder="1" applyAlignment="1" applyProtection="1">
      <alignment horizontal="center" vertical="top" shrinkToFit="1"/>
      <protection locked="0"/>
    </xf>
    <xf numFmtId="2" fontId="0" fillId="0" borderId="19" xfId="75" applyNumberFormat="1" applyFont="1" applyBorder="1" applyAlignment="1" applyProtection="1">
      <alignment horizontal="center" vertical="top" shrinkToFit="1"/>
      <protection locked="0"/>
    </xf>
    <xf numFmtId="2" fontId="0" fillId="0" borderId="0" xfId="75" applyNumberFormat="1" applyFont="1" applyBorder="1" applyAlignment="1" applyProtection="1">
      <alignment horizontal="center" vertical="top" shrinkToFit="1"/>
      <protection locked="0"/>
    </xf>
    <xf numFmtId="0" fontId="0" fillId="0" borderId="18" xfId="75" applyNumberFormat="1" applyFont="1" applyBorder="1" applyAlignment="1" applyProtection="1">
      <alignment horizontal="center" vertical="top" shrinkToFit="1"/>
      <protection locked="0"/>
    </xf>
    <xf numFmtId="0" fontId="0" fillId="0" borderId="17" xfId="75" applyNumberFormat="1" applyFont="1" applyBorder="1" applyAlignment="1" applyProtection="1">
      <alignment horizontal="center" vertical="top" shrinkToFit="1"/>
      <protection locked="0"/>
    </xf>
    <xf numFmtId="0" fontId="0" fillId="0" borderId="19" xfId="75" applyNumberFormat="1" applyFont="1" applyBorder="1" applyAlignment="1" applyProtection="1">
      <alignment horizontal="center" vertical="top" shrinkToFit="1"/>
      <protection locked="0"/>
    </xf>
    <xf numFmtId="0" fontId="0" fillId="0" borderId="0" xfId="75" applyNumberFormat="1" applyFont="1" applyBorder="1" applyAlignment="1" applyProtection="1">
      <alignment horizontal="center" vertical="top" shrinkToFit="1"/>
      <protection locked="0"/>
    </xf>
    <xf numFmtId="198" fontId="0" fillId="4" borderId="0" xfId="0" applyNumberFormat="1" applyFill="1" applyAlignment="1" applyProtection="1">
      <alignment horizontal="center" shrinkToFit="1"/>
      <protection hidden="1"/>
    </xf>
    <xf numFmtId="0" fontId="90" fillId="4" borderId="0" xfId="0" applyFont="1" applyFill="1" applyAlignment="1">
      <alignment horizontal="center" vertical="center" shrinkToFit="1"/>
    </xf>
    <xf numFmtId="179" fontId="0" fillId="4" borderId="0" xfId="0" applyNumberFormat="1" applyFont="1" applyFill="1" applyAlignment="1" applyProtection="1">
      <alignment horizontal="center" shrinkToFit="1"/>
      <protection hidden="1"/>
    </xf>
    <xf numFmtId="178" fontId="0" fillId="4" borderId="0" xfId="0" applyNumberFormat="1" applyFill="1" applyAlignment="1" applyProtection="1">
      <alignment horizontal="left" shrinkToFit="1"/>
      <protection hidden="1"/>
    </xf>
    <xf numFmtId="0" fontId="0" fillId="0" borderId="0" xfId="0" applyFill="1" applyAlignment="1" applyProtection="1">
      <alignment horizontal="center" shrinkToFit="1"/>
      <protection locked="0"/>
    </xf>
    <xf numFmtId="0" fontId="0" fillId="4" borderId="0" xfId="0" applyFill="1" applyAlignment="1">
      <alignment horizontal="right" shrinkToFit="1"/>
    </xf>
    <xf numFmtId="0" fontId="0" fillId="4" borderId="0" xfId="0" applyFill="1" applyAlignment="1">
      <alignment horizontal="center" shrinkToFit="1"/>
    </xf>
    <xf numFmtId="178" fontId="0" fillId="4" borderId="0" xfId="0" applyNumberFormat="1" applyFill="1" applyAlignment="1">
      <alignment horizontal="center" shrinkToFit="1"/>
    </xf>
    <xf numFmtId="179" fontId="0" fillId="36" borderId="0" xfId="0" applyNumberFormat="1" applyFill="1" applyAlignment="1" applyProtection="1">
      <alignment horizontal="center" shrinkToFit="1"/>
      <protection locked="0"/>
    </xf>
    <xf numFmtId="178" fontId="0" fillId="4" borderId="0" xfId="0" applyNumberFormat="1" applyFill="1" applyAlignment="1" applyProtection="1" quotePrefix="1">
      <alignment horizontal="center" shrinkToFit="1"/>
      <protection hidden="1"/>
    </xf>
    <xf numFmtId="0" fontId="89" fillId="4" borderId="0" xfId="0" applyFont="1" applyFill="1" applyAlignment="1" applyProtection="1">
      <alignment horizontal="center"/>
      <protection hidden="1"/>
    </xf>
    <xf numFmtId="0" fontId="89" fillId="4" borderId="0" xfId="0" applyFont="1" applyFill="1" applyAlignment="1">
      <alignment horizontal="right" shrinkToFit="1"/>
    </xf>
    <xf numFmtId="179" fontId="0" fillId="4" borderId="0" xfId="0" applyNumberFormat="1" applyFill="1" applyAlignment="1">
      <alignment horizontal="center" shrinkToFit="1"/>
    </xf>
    <xf numFmtId="1" fontId="89" fillId="4" borderId="0" xfId="0" applyNumberFormat="1" applyFont="1" applyFill="1" applyAlignment="1" applyProtection="1">
      <alignment horizontal="center" shrinkToFit="1"/>
      <protection hidden="1"/>
    </xf>
    <xf numFmtId="2" fontId="104" fillId="4" borderId="0" xfId="0" applyNumberFormat="1" applyFont="1" applyFill="1" applyAlignment="1" applyProtection="1">
      <alignment horizontal="center" shrinkToFit="1"/>
      <protection hidden="1"/>
    </xf>
    <xf numFmtId="0" fontId="104" fillId="4" borderId="20" xfId="0" applyFont="1" applyFill="1" applyBorder="1" applyAlignment="1" applyProtection="1">
      <alignment horizontal="center" shrinkToFit="1"/>
      <protection hidden="1"/>
    </xf>
    <xf numFmtId="0" fontId="96" fillId="4" borderId="20" xfId="0" applyFont="1" applyFill="1" applyBorder="1" applyAlignment="1" applyProtection="1">
      <alignment horizontal="center" shrinkToFit="1"/>
      <protection hidden="1"/>
    </xf>
    <xf numFmtId="0" fontId="71" fillId="36" borderId="0" xfId="0" applyFont="1" applyFill="1" applyAlignment="1" applyProtection="1">
      <alignment horizontal="left" shrinkToFit="1"/>
      <protection hidden="1"/>
    </xf>
    <xf numFmtId="0" fontId="125" fillId="4" borderId="0" xfId="0" applyFont="1" applyFill="1" applyAlignment="1" applyProtection="1">
      <alignment horizontal="center" shrinkToFit="1"/>
      <protection hidden="1"/>
    </xf>
    <xf numFmtId="1" fontId="89" fillId="4" borderId="0" xfId="57" applyNumberFormat="1" applyFont="1" applyFill="1" applyAlignment="1" applyProtection="1">
      <alignment horizontal="center" shrinkToFit="1"/>
      <protection hidden="1"/>
    </xf>
    <xf numFmtId="178" fontId="89" fillId="4" borderId="0" xfId="0" applyNumberFormat="1" applyFont="1" applyFill="1" applyAlignment="1" applyProtection="1">
      <alignment horizontal="left" shrinkToFit="1"/>
      <protection hidden="1"/>
    </xf>
    <xf numFmtId="0" fontId="119" fillId="33" borderId="0" xfId="0" applyFont="1" applyFill="1" applyAlignment="1" applyProtection="1">
      <alignment horizontal="center" shrinkToFit="1"/>
      <protection hidden="1"/>
    </xf>
    <xf numFmtId="179" fontId="89" fillId="4" borderId="0" xfId="0" applyNumberFormat="1" applyFont="1" applyFill="1" applyAlignment="1" applyProtection="1">
      <alignment horizontal="right" shrinkToFit="1"/>
      <protection hidden="1"/>
    </xf>
    <xf numFmtId="0" fontId="0" fillId="4" borderId="0" xfId="0" applyFill="1" applyAlignment="1" quotePrefix="1">
      <alignment horizontal="left" shrinkToFit="1"/>
    </xf>
    <xf numFmtId="2" fontId="5" fillId="4" borderId="0" xfId="0" applyNumberFormat="1" applyFont="1" applyFill="1" applyAlignment="1" applyProtection="1">
      <alignment horizontal="center" shrinkToFit="1"/>
      <protection hidden="1"/>
    </xf>
    <xf numFmtId="0" fontId="5" fillId="4" borderId="0" xfId="0" applyFont="1" applyFill="1" applyAlignment="1" applyProtection="1">
      <alignment horizontal="left" shrinkToFit="1"/>
      <protection hidden="1"/>
    </xf>
    <xf numFmtId="2" fontId="74" fillId="36" borderId="0" xfId="75" applyNumberFormat="1" applyFont="1" applyFill="1" applyBorder="1" applyAlignment="1" applyProtection="1">
      <alignment horizontal="center" vertical="top" shrinkToFit="1"/>
      <protection hidden="1"/>
    </xf>
    <xf numFmtId="0" fontId="71" fillId="36" borderId="0" xfId="0" applyFont="1" applyFill="1" applyAlignment="1">
      <alignment horizontal="center" shrinkToFit="1"/>
    </xf>
    <xf numFmtId="178" fontId="0" fillId="0" borderId="0" xfId="0" applyNumberFormat="1" applyFill="1" applyAlignment="1" applyProtection="1">
      <alignment horizontal="center" shrinkToFit="1"/>
      <protection locked="0"/>
    </xf>
    <xf numFmtId="0" fontId="17" fillId="4" borderId="0" xfId="0" applyFont="1" applyFill="1" applyAlignment="1">
      <alignment horizontal="right" shrinkToFit="1"/>
    </xf>
    <xf numFmtId="0" fontId="0" fillId="4" borderId="0" xfId="0" applyFill="1" applyAlignment="1" applyProtection="1" quotePrefix="1">
      <alignment horizontal="right" shrinkToFit="1"/>
      <protection hidden="1"/>
    </xf>
    <xf numFmtId="0" fontId="101" fillId="4" borderId="0" xfId="0" applyFont="1" applyFill="1" applyAlignment="1" applyProtection="1">
      <alignment horizontal="center" shrinkToFit="1"/>
      <protection hidden="1"/>
    </xf>
    <xf numFmtId="0" fontId="5" fillId="36" borderId="0" xfId="0" applyFont="1" applyFill="1" applyAlignment="1" applyProtection="1">
      <alignment horizontal="left" shrinkToFit="1"/>
      <protection hidden="1"/>
    </xf>
    <xf numFmtId="0" fontId="90" fillId="36" borderId="0" xfId="0" applyFont="1" applyFill="1" applyAlignment="1" applyProtection="1">
      <alignment horizontal="right" shrinkToFit="1"/>
      <protection hidden="1"/>
    </xf>
    <xf numFmtId="0" fontId="90" fillId="36" borderId="0" xfId="0" applyFont="1" applyFill="1" applyAlignment="1" applyProtection="1">
      <alignment horizontal="left" shrinkToFit="1"/>
      <protection hidden="1"/>
    </xf>
    <xf numFmtId="0" fontId="90" fillId="36" borderId="0" xfId="0" applyFont="1" applyFill="1" applyAlignment="1" applyProtection="1">
      <alignment horizontal="left"/>
      <protection hidden="1"/>
    </xf>
    <xf numFmtId="178" fontId="96" fillId="4" borderId="0" xfId="0" applyNumberFormat="1" applyFont="1" applyFill="1" applyAlignment="1" applyProtection="1" quotePrefix="1">
      <alignment horizontal="center" shrinkToFit="1"/>
      <protection hidden="1"/>
    </xf>
    <xf numFmtId="178" fontId="5" fillId="4" borderId="0" xfId="0" applyNumberFormat="1" applyFont="1" applyFill="1" applyAlignment="1" applyProtection="1">
      <alignment horizontal="center"/>
      <protection hidden="1"/>
    </xf>
    <xf numFmtId="0" fontId="90" fillId="36" borderId="0" xfId="0" applyFont="1" applyFill="1" applyAlignment="1" applyProtection="1">
      <alignment horizontal="center"/>
      <protection hidden="1"/>
    </xf>
    <xf numFmtId="0" fontId="90" fillId="4" borderId="0" xfId="0" applyFont="1" applyFill="1" applyAlignment="1" applyProtection="1">
      <alignment horizontal="center"/>
      <protection hidden="1"/>
    </xf>
    <xf numFmtId="0" fontId="5" fillId="4" borderId="0" xfId="0" applyFont="1" applyFill="1" applyAlignment="1" applyProtection="1">
      <alignment horizontal="center"/>
      <protection hidden="1"/>
    </xf>
    <xf numFmtId="178" fontId="96" fillId="4" borderId="0" xfId="0" applyNumberFormat="1" applyFont="1" applyFill="1" applyAlignment="1" quotePrefix="1">
      <alignment horizontal="center" shrinkToFit="1"/>
    </xf>
    <xf numFmtId="178" fontId="0" fillId="4" borderId="0" xfId="0" applyNumberFormat="1" applyFill="1" applyAlignment="1" applyProtection="1">
      <alignment horizontal="center"/>
      <protection hidden="1"/>
    </xf>
    <xf numFmtId="1" fontId="96" fillId="4" borderId="0" xfId="0" applyNumberFormat="1" applyFont="1" applyFill="1" applyAlignment="1" quotePrefix="1">
      <alignment horizontal="center" shrinkToFit="1"/>
    </xf>
    <xf numFmtId="0" fontId="0" fillId="4" borderId="0" xfId="0" applyFill="1" applyAlignment="1" applyProtection="1">
      <alignment horizontal="center"/>
      <protection hidden="1"/>
    </xf>
    <xf numFmtId="0" fontId="0" fillId="4" borderId="0" xfId="0" applyFill="1" applyAlignment="1" applyProtection="1">
      <alignment horizontal="left"/>
      <protection hidden="1"/>
    </xf>
    <xf numFmtId="179" fontId="89" fillId="4" borderId="0" xfId="0" applyNumberFormat="1" applyFont="1" applyFill="1" applyAlignment="1" applyProtection="1">
      <alignment horizontal="center"/>
      <protection hidden="1"/>
    </xf>
    <xf numFmtId="179" fontId="0" fillId="0" borderId="0" xfId="0" applyNumberFormat="1" applyAlignment="1" applyProtection="1">
      <alignment horizontal="center"/>
      <protection locked="0"/>
    </xf>
    <xf numFmtId="0" fontId="0" fillId="36" borderId="0" xfId="0" applyFill="1" applyAlignment="1" applyProtection="1">
      <alignment horizontal="left"/>
      <protection locked="0"/>
    </xf>
    <xf numFmtId="2" fontId="89" fillId="4" borderId="0" xfId="0" applyNumberFormat="1" applyFont="1" applyFill="1" applyAlignment="1" applyProtection="1">
      <alignment horizontal="right"/>
      <protection hidden="1"/>
    </xf>
    <xf numFmtId="2" fontId="0" fillId="4" borderId="0" xfId="0" applyNumberFormat="1" applyFill="1" applyAlignment="1" applyProtection="1">
      <alignment horizontal="right"/>
      <protection hidden="1"/>
    </xf>
    <xf numFmtId="0" fontId="0" fillId="4" borderId="0" xfId="0" applyFont="1" applyFill="1" applyAlignment="1" applyProtection="1">
      <alignment horizontal="left"/>
      <protection hidden="1"/>
    </xf>
    <xf numFmtId="179" fontId="0" fillId="0" borderId="0" xfId="0" applyNumberFormat="1" applyAlignment="1" applyProtection="1">
      <alignment horizontal="center" shrinkToFit="1"/>
      <protection locked="0"/>
    </xf>
    <xf numFmtId="179" fontId="0" fillId="4" borderId="0" xfId="0" applyNumberFormat="1" applyFill="1" applyAlignment="1" applyProtection="1">
      <alignment horizontal="right"/>
      <protection hidden="1"/>
    </xf>
    <xf numFmtId="179" fontId="0" fillId="4" borderId="0" xfId="0" applyNumberFormat="1" applyFill="1" applyAlignment="1" applyProtection="1">
      <alignment horizontal="center"/>
      <protection hidden="1"/>
    </xf>
    <xf numFmtId="0" fontId="95" fillId="37" borderId="0" xfId="0" applyFont="1" applyFill="1" applyAlignment="1" applyProtection="1">
      <alignment horizontal="center"/>
      <protection hidden="1"/>
    </xf>
    <xf numFmtId="0" fontId="0" fillId="36" borderId="0" xfId="0" applyFont="1" applyFill="1" applyAlignment="1" applyProtection="1">
      <alignment horizontal="left"/>
      <protection locked="0"/>
    </xf>
    <xf numFmtId="2" fontId="0" fillId="0" borderId="0" xfId="0" applyNumberFormat="1" applyAlignment="1" applyProtection="1">
      <alignment horizontal="center"/>
      <protection locked="0"/>
    </xf>
    <xf numFmtId="178"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2" fontId="0" fillId="4" borderId="0" xfId="0" applyNumberFormat="1" applyFill="1" applyAlignment="1" applyProtection="1">
      <alignment horizontal="center"/>
      <protection hidden="1"/>
    </xf>
    <xf numFmtId="178" fontId="0" fillId="36" borderId="0" xfId="0" applyNumberFormat="1" applyFill="1" applyAlignment="1" applyProtection="1">
      <alignment horizontal="center"/>
      <protection locked="0"/>
    </xf>
    <xf numFmtId="0" fontId="0" fillId="36" borderId="0" xfId="0" applyFill="1" applyAlignment="1" applyProtection="1">
      <alignment horizontal="center"/>
      <protection locked="0"/>
    </xf>
    <xf numFmtId="2" fontId="0" fillId="36" borderId="0" xfId="0" applyNumberFormat="1" applyFill="1" applyAlignment="1" applyProtection="1">
      <alignment horizontal="center"/>
      <protection locked="0"/>
    </xf>
    <xf numFmtId="179" fontId="0" fillId="36" borderId="0" xfId="0" applyNumberFormat="1" applyFill="1" applyAlignment="1" applyProtection="1">
      <alignment horizontal="center"/>
      <protection locked="0"/>
    </xf>
    <xf numFmtId="0" fontId="0" fillId="4" borderId="0" xfId="0" applyFont="1" applyFill="1" applyAlignment="1" applyProtection="1">
      <alignment horizontal="right"/>
      <protection hidden="1"/>
    </xf>
    <xf numFmtId="1" fontId="0" fillId="4" borderId="0" xfId="0" applyNumberFormat="1" applyFont="1" applyFill="1" applyAlignment="1" applyProtection="1">
      <alignment horizontal="center"/>
      <protection hidden="1"/>
    </xf>
    <xf numFmtId="0" fontId="0" fillId="4" borderId="0" xfId="0" applyFont="1" applyFill="1" applyAlignment="1" applyProtection="1">
      <alignment horizontal="center"/>
      <protection hidden="1"/>
    </xf>
    <xf numFmtId="2" fontId="0" fillId="4" borderId="0" xfId="0" applyNumberFormat="1" applyFont="1" applyFill="1" applyAlignment="1" applyProtection="1">
      <alignment horizontal="center"/>
      <protection hidden="1"/>
    </xf>
    <xf numFmtId="1" fontId="0" fillId="36" borderId="0" xfId="0" applyNumberFormat="1" applyFont="1" applyFill="1" applyAlignment="1" applyProtection="1">
      <alignment horizontal="center"/>
      <protection locked="0"/>
    </xf>
    <xf numFmtId="0" fontId="89" fillId="4" borderId="0" xfId="0" applyFont="1" applyFill="1" applyAlignment="1" applyProtection="1">
      <alignment horizontal="right"/>
      <protection hidden="1"/>
    </xf>
    <xf numFmtId="178" fontId="0" fillId="4" borderId="0" xfId="0" applyNumberFormat="1" applyFont="1" applyFill="1" applyAlignment="1" applyProtection="1">
      <alignment horizontal="center"/>
      <protection hidden="1"/>
    </xf>
    <xf numFmtId="179" fontId="89" fillId="4" borderId="0" xfId="0" applyNumberFormat="1" applyFont="1" applyFill="1" applyAlignment="1" applyProtection="1" quotePrefix="1">
      <alignment horizontal="center"/>
      <protection hidden="1"/>
    </xf>
    <xf numFmtId="178" fontId="0" fillId="36" borderId="0" xfId="0" applyNumberFormat="1" applyFont="1" applyFill="1" applyAlignment="1" applyProtection="1">
      <alignment horizontal="center"/>
      <protection locked="0"/>
    </xf>
    <xf numFmtId="179" fontId="0" fillId="36" borderId="0" xfId="0" applyNumberFormat="1" applyFont="1" applyFill="1" applyAlignment="1" applyProtection="1">
      <alignment horizontal="center"/>
      <protection locked="0"/>
    </xf>
    <xf numFmtId="0" fontId="0" fillId="4" borderId="0" xfId="0" applyFill="1" applyAlignment="1" applyProtection="1">
      <alignment horizontal="right"/>
      <protection hidden="1"/>
    </xf>
    <xf numFmtId="1" fontId="0" fillId="36" borderId="0" xfId="0" applyNumberFormat="1" applyFill="1" applyAlignment="1" applyProtection="1">
      <alignment horizontal="center"/>
      <protection locked="0"/>
    </xf>
    <xf numFmtId="0" fontId="95" fillId="33" borderId="0" xfId="0" applyFont="1" applyFill="1" applyAlignment="1" applyProtection="1">
      <alignment horizontal="center" vertical="center"/>
      <protection hidden="1"/>
    </xf>
    <xf numFmtId="0" fontId="94" fillId="37" borderId="0" xfId="0" applyFont="1" applyFill="1" applyAlignment="1" applyProtection="1">
      <alignment horizontal="center" vertical="center"/>
      <protection hidden="1"/>
    </xf>
    <xf numFmtId="0" fontId="5" fillId="4" borderId="0" xfId="57" applyNumberFormat="1" applyFont="1" applyFill="1" applyAlignment="1" applyProtection="1">
      <alignment horizontal="left"/>
      <protection hidden="1"/>
    </xf>
    <xf numFmtId="0" fontId="5" fillId="4" borderId="0" xfId="0" applyNumberFormat="1" applyFont="1" applyFill="1" applyAlignment="1" applyProtection="1">
      <alignment horizontal="left"/>
      <protection hidden="1"/>
    </xf>
    <xf numFmtId="0" fontId="5" fillId="4" borderId="0" xfId="57" applyNumberFormat="1" applyFont="1" applyFill="1" applyAlignment="1" applyProtection="1" quotePrefix="1">
      <alignment horizontal="left"/>
      <protection hidden="1"/>
    </xf>
    <xf numFmtId="0" fontId="0" fillId="36" borderId="0" xfId="0" applyFill="1" applyAlignment="1" applyProtection="1">
      <alignment horizontal="center"/>
      <protection hidden="1"/>
    </xf>
    <xf numFmtId="0" fontId="35" fillId="36" borderId="0" xfId="65" applyFont="1" applyFill="1" applyAlignment="1" applyProtection="1">
      <alignment horizontal="right" vertical="top"/>
      <protection hidden="1"/>
    </xf>
    <xf numFmtId="0" fontId="35" fillId="36" borderId="21" xfId="65" applyFont="1" applyFill="1" applyBorder="1" applyAlignment="1" applyProtection="1">
      <alignment horizontal="right" vertical="top"/>
      <protection hidden="1"/>
    </xf>
    <xf numFmtId="0" fontId="93" fillId="36" borderId="0" xfId="0" applyFont="1" applyFill="1" applyAlignment="1" applyProtection="1">
      <alignment horizontal="center"/>
      <protection hidden="1"/>
    </xf>
    <xf numFmtId="14" fontId="0" fillId="36" borderId="0" xfId="0" applyNumberFormat="1" applyFill="1" applyAlignment="1" applyProtection="1">
      <alignment horizontal="left"/>
      <protection hidden="1"/>
    </xf>
    <xf numFmtId="0" fontId="0" fillId="36" borderId="0" xfId="0" applyFill="1" applyAlignment="1" applyProtection="1">
      <alignment horizontal="left"/>
      <protection hidden="1"/>
    </xf>
    <xf numFmtId="20" fontId="0" fillId="36" borderId="0" xfId="0" applyNumberFormat="1" applyFill="1" applyAlignment="1" applyProtection="1">
      <alignment horizontal="left"/>
      <protection hidden="1"/>
    </xf>
    <xf numFmtId="0" fontId="0" fillId="36" borderId="0" xfId="0" applyNumberFormat="1" applyFill="1" applyAlignment="1" applyProtection="1">
      <alignment horizontal="left"/>
      <protection hidden="1"/>
    </xf>
    <xf numFmtId="0" fontId="38" fillId="36" borderId="0" xfId="0" applyFont="1" applyFill="1" applyAlignment="1" applyProtection="1">
      <alignment horizontal="center" vertical="center"/>
      <protection hidden="1"/>
    </xf>
    <xf numFmtId="0" fontId="39" fillId="36" borderId="0" xfId="0" applyFont="1" applyFill="1" applyAlignment="1" applyProtection="1">
      <alignment horizontal="center" vertical="center"/>
      <protection hidden="1"/>
    </xf>
    <xf numFmtId="0" fontId="38" fillId="36" borderId="0" xfId="0" applyFont="1" applyFill="1" applyAlignment="1" applyProtection="1">
      <alignment horizontal="right"/>
      <protection hidden="1"/>
    </xf>
    <xf numFmtId="196" fontId="70" fillId="36" borderId="0" xfId="0" applyNumberFormat="1" applyFont="1" applyFill="1" applyAlignment="1" applyProtection="1">
      <alignment horizontal="center"/>
      <protection hidden="1"/>
    </xf>
    <xf numFmtId="0" fontId="38" fillId="36" borderId="0" xfId="0" applyFont="1" applyFill="1" applyAlignment="1" applyProtection="1">
      <alignment horizontal="center"/>
      <protection hidden="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3 2"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ckground Green" xfId="40"/>
    <cellStyle name="Bad" xfId="41"/>
    <cellStyle name="Calculation" xfId="42"/>
    <cellStyle name="Check Cell" xfId="43"/>
    <cellStyle name="Comma" xfId="44"/>
    <cellStyle name="Comma [0]" xfId="45"/>
    <cellStyle name="Currency" xfId="46"/>
    <cellStyle name="Currency [0]" xfId="47"/>
    <cellStyle name="Dark Green" xfId="48"/>
    <cellStyle name="Dark Green Emb1"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abel green" xfId="61"/>
    <cellStyle name="Linked Cell" xfId="62"/>
    <cellStyle name="Mid Green" xfId="63"/>
    <cellStyle name="Neutral" xfId="64"/>
    <cellStyle name="Normal 2" xfId="65"/>
    <cellStyle name="Normal 2 2" xfId="66"/>
    <cellStyle name="Normal 3" xfId="67"/>
    <cellStyle name="Normal 4" xfId="68"/>
    <cellStyle name="Normal 5" xfId="69"/>
    <cellStyle name="Note" xfId="70"/>
    <cellStyle name="Output" xfId="71"/>
    <cellStyle name="Percent" xfId="72"/>
    <cellStyle name="Percent 2" xfId="73"/>
    <cellStyle name="ReadOnly" xfId="74"/>
    <cellStyle name="Sunken" xfId="75"/>
    <cellStyle name="Sunken 2" xfId="76"/>
    <cellStyle name="Sunken2" xfId="77"/>
    <cellStyle name="Sunken2 2" xfId="78"/>
    <cellStyle name="Sunken3" xfId="79"/>
    <cellStyle name="Sunken3 2" xfId="80"/>
    <cellStyle name="Sunken4" xfId="81"/>
    <cellStyle name="Sunken4 2"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57150</xdr:rowOff>
    </xdr:from>
    <xdr:to>
      <xdr:col>6</xdr:col>
      <xdr:colOff>104775</xdr:colOff>
      <xdr:row>12</xdr:row>
      <xdr:rowOff>28575</xdr:rowOff>
    </xdr:to>
    <xdr:pic>
      <xdr:nvPicPr>
        <xdr:cNvPr id="1" name="Picture 1"/>
        <xdr:cNvPicPr preferRelativeResize="1">
          <a:picLocks noChangeAspect="1"/>
        </xdr:cNvPicPr>
      </xdr:nvPicPr>
      <xdr:blipFill>
        <a:blip r:embed="rId1"/>
        <a:stretch>
          <a:fillRect/>
        </a:stretch>
      </xdr:blipFill>
      <xdr:spPr>
        <a:xfrm>
          <a:off x="152400" y="600075"/>
          <a:ext cx="6381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abrewer.info/viewtopic.php?f=10&amp;t=1869" TargetMode="External" /><Relationship Id="rId2" Type="http://schemas.openxmlformats.org/officeDocument/2006/relationships/hyperlink" Target="http://www.biabrewer.info/"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B272"/>
  <sheetViews>
    <sheetView tabSelected="1" zoomScale="115" zoomScaleNormal="115" zoomScalePageLayoutView="0" workbookViewId="0" topLeftCell="A1">
      <selection activeCell="AV30" sqref="AV30:AY31"/>
    </sheetView>
  </sheetViews>
  <sheetFormatPr defaultColWidth="9.140625" defaultRowHeight="15"/>
  <cols>
    <col min="1" max="216" width="1.7109375" style="5" customWidth="1"/>
    <col min="217" max="16384" width="9.140625" style="5" customWidth="1"/>
  </cols>
  <sheetData>
    <row r="1" spans="2:110" ht="21.75" customHeight="1">
      <c r="B1" s="185" t="s">
        <v>323</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row>
    <row r="2" spans="1:184" ht="21">
      <c r="A2" s="43"/>
      <c r="B2" s="296" t="s">
        <v>309</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7" t="s">
        <v>213</v>
      </c>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row>
    <row r="3" spans="1:184" ht="7.5" customHeight="1">
      <c r="A3" s="43"/>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44"/>
      <c r="BX3" s="44"/>
      <c r="BY3" s="239" t="str">
        <f>IF(AND(K27&gt;0,Y30&gt;0,CH7&gt;0),K27&amp;" - Batch"&amp;" "&amp;CH7,IF(AND(K27&gt;0,Y30&gt;0),K27,IF(K27&gt;0,K27,"Recipe Batch Number and Dates")))</f>
        <v>Zombie Dust Clone</v>
      </c>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43"/>
      <c r="DH3" s="43"/>
      <c r="DI3" s="298" t="s">
        <v>310</v>
      </c>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43"/>
      <c r="ER3" s="214" t="s">
        <v>307</v>
      </c>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45"/>
    </row>
    <row r="4" spans="1:184" ht="7.5" customHeight="1">
      <c r="A4" s="43"/>
      <c r="B4" s="46"/>
      <c r="C4" s="46"/>
      <c r="D4" s="46"/>
      <c r="E4" s="46"/>
      <c r="F4" s="46"/>
      <c r="G4" s="46"/>
      <c r="H4" s="238" t="s">
        <v>112</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5" t="s">
        <v>139</v>
      </c>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40" t="s">
        <v>91</v>
      </c>
      <c r="BU4" s="240"/>
      <c r="BV4" s="240"/>
      <c r="BW4" s="44"/>
      <c r="BX4" s="44"/>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43"/>
      <c r="DH4" s="43"/>
      <c r="DI4" s="298"/>
      <c r="DJ4" s="298"/>
      <c r="DK4" s="298"/>
      <c r="DL4" s="298"/>
      <c r="DM4" s="298"/>
      <c r="DN4" s="298"/>
      <c r="DO4" s="298"/>
      <c r="DP4" s="298"/>
      <c r="DQ4" s="298"/>
      <c r="DR4" s="298"/>
      <c r="DS4" s="298"/>
      <c r="DT4" s="298"/>
      <c r="DU4" s="298"/>
      <c r="DV4" s="298"/>
      <c r="DW4" s="298"/>
      <c r="DX4" s="298"/>
      <c r="DY4" s="298"/>
      <c r="DZ4" s="298"/>
      <c r="EA4" s="298"/>
      <c r="EB4" s="298"/>
      <c r="EC4" s="298"/>
      <c r="ED4" s="298"/>
      <c r="EE4" s="298"/>
      <c r="EF4" s="298"/>
      <c r="EG4" s="298"/>
      <c r="EH4" s="298"/>
      <c r="EI4" s="298"/>
      <c r="EJ4" s="298"/>
      <c r="EK4" s="298"/>
      <c r="EL4" s="298"/>
      <c r="EM4" s="298"/>
      <c r="EN4" s="298"/>
      <c r="EO4" s="298"/>
      <c r="EP4" s="298"/>
      <c r="EQ4" s="43"/>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45"/>
    </row>
    <row r="5" spans="1:184" ht="7.5" customHeight="1">
      <c r="A5" s="43"/>
      <c r="B5" s="46"/>
      <c r="C5" s="46"/>
      <c r="D5" s="46"/>
      <c r="E5" s="46"/>
      <c r="F5" s="46"/>
      <c r="G5" s="46"/>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40"/>
      <c r="BU5" s="240"/>
      <c r="BV5" s="240"/>
      <c r="BW5" s="44"/>
      <c r="BX5" s="44"/>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43"/>
      <c r="DH5" s="43"/>
      <c r="DI5" s="111"/>
      <c r="DJ5" s="111"/>
      <c r="DK5" s="111"/>
      <c r="DL5" s="111"/>
      <c r="DM5" s="111"/>
      <c r="DN5" s="111"/>
      <c r="DO5" s="111"/>
      <c r="DP5" s="111"/>
      <c r="DQ5" s="111"/>
      <c r="DR5" s="111"/>
      <c r="DS5" s="111"/>
      <c r="DT5" s="111"/>
      <c r="DU5" s="111"/>
      <c r="DV5" s="111"/>
      <c r="DW5" s="111"/>
      <c r="DX5" s="111"/>
      <c r="DY5" s="111"/>
      <c r="DZ5" s="111"/>
      <c r="EA5" s="111"/>
      <c r="EB5" s="111"/>
      <c r="EC5" s="112"/>
      <c r="ED5" s="112"/>
      <c r="EE5" s="112"/>
      <c r="EF5" s="112"/>
      <c r="EG5" s="112"/>
      <c r="EH5" s="112"/>
      <c r="EI5" s="112"/>
      <c r="EJ5" s="112"/>
      <c r="EK5" s="112"/>
      <c r="EL5" s="112"/>
      <c r="EM5" s="112"/>
      <c r="EN5" s="112"/>
      <c r="EO5" s="112"/>
      <c r="EP5" s="112"/>
      <c r="EQ5" s="43"/>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45"/>
    </row>
    <row r="6" spans="1:184" ht="7.5" customHeight="1">
      <c r="A6" s="43"/>
      <c r="B6" s="46"/>
      <c r="C6" s="46"/>
      <c r="D6" s="46"/>
      <c r="E6" s="46"/>
      <c r="F6" s="46"/>
      <c r="G6" s="46"/>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40"/>
      <c r="BU6" s="240"/>
      <c r="BV6" s="240"/>
      <c r="BW6" s="44"/>
      <c r="BX6" s="44"/>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3"/>
      <c r="DH6" s="43"/>
      <c r="DI6" s="299" t="s">
        <v>312</v>
      </c>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43"/>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45"/>
    </row>
    <row r="7" spans="1:184" ht="7.5" customHeight="1">
      <c r="A7" s="43"/>
      <c r="B7" s="46"/>
      <c r="C7" s="46"/>
      <c r="D7" s="46"/>
      <c r="E7" s="46"/>
      <c r="F7" s="46"/>
      <c r="G7" s="46"/>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41" t="s">
        <v>114</v>
      </c>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44"/>
      <c r="BX7" s="44"/>
      <c r="BY7" s="48"/>
      <c r="BZ7" s="192" t="s">
        <v>96</v>
      </c>
      <c r="CA7" s="192"/>
      <c r="CB7" s="192"/>
      <c r="CC7" s="192"/>
      <c r="CD7" s="192"/>
      <c r="CE7" s="192"/>
      <c r="CF7" s="192"/>
      <c r="CG7" s="192"/>
      <c r="CH7" s="193"/>
      <c r="CI7" s="193"/>
      <c r="CJ7" s="193"/>
      <c r="CK7" s="48"/>
      <c r="CL7" s="48"/>
      <c r="CM7" s="245" t="s">
        <v>136</v>
      </c>
      <c r="CN7" s="245"/>
      <c r="CO7" s="245"/>
      <c r="CP7" s="245"/>
      <c r="CQ7" s="245"/>
      <c r="CR7" s="245"/>
      <c r="CS7" s="245"/>
      <c r="CT7" s="245"/>
      <c r="CU7" s="245"/>
      <c r="CV7" s="245"/>
      <c r="CW7" s="234"/>
      <c r="CX7" s="234"/>
      <c r="CY7" s="234"/>
      <c r="CZ7" s="234"/>
      <c r="DA7" s="234"/>
      <c r="DB7" s="234"/>
      <c r="DC7" s="234"/>
      <c r="DD7" s="234"/>
      <c r="DE7" s="234"/>
      <c r="DF7" s="48"/>
      <c r="DG7" s="43"/>
      <c r="DH7" s="43"/>
      <c r="DI7" s="299"/>
      <c r="DJ7" s="299"/>
      <c r="DK7" s="299"/>
      <c r="DL7" s="299"/>
      <c r="DM7" s="299"/>
      <c r="DN7" s="299"/>
      <c r="DO7" s="299"/>
      <c r="DP7" s="299"/>
      <c r="DQ7" s="299"/>
      <c r="DR7" s="299"/>
      <c r="DS7" s="299"/>
      <c r="DT7" s="299"/>
      <c r="DU7" s="299"/>
      <c r="DV7" s="299"/>
      <c r="DW7" s="299"/>
      <c r="DX7" s="299"/>
      <c r="DY7" s="299"/>
      <c r="DZ7" s="299"/>
      <c r="EA7" s="299"/>
      <c r="EB7" s="299"/>
      <c r="EC7" s="299"/>
      <c r="ED7" s="299"/>
      <c r="EE7" s="299"/>
      <c r="EF7" s="299"/>
      <c r="EG7" s="299"/>
      <c r="EH7" s="299"/>
      <c r="EI7" s="299"/>
      <c r="EJ7" s="299"/>
      <c r="EK7" s="299"/>
      <c r="EL7" s="299"/>
      <c r="EM7" s="299"/>
      <c r="EN7" s="299"/>
      <c r="EO7" s="299"/>
      <c r="EP7" s="299"/>
      <c r="EQ7" s="43"/>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45"/>
    </row>
    <row r="8" spans="1:184" ht="7.5" customHeight="1">
      <c r="A8" s="43"/>
      <c r="B8" s="46"/>
      <c r="C8" s="46"/>
      <c r="D8" s="46"/>
      <c r="E8" s="46"/>
      <c r="F8" s="46"/>
      <c r="G8" s="46"/>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44"/>
      <c r="BX8" s="44"/>
      <c r="BY8" s="48"/>
      <c r="BZ8" s="192"/>
      <c r="CA8" s="192"/>
      <c r="CB8" s="192"/>
      <c r="CC8" s="192"/>
      <c r="CD8" s="192"/>
      <c r="CE8" s="192"/>
      <c r="CF8" s="192"/>
      <c r="CG8" s="192"/>
      <c r="CH8" s="193"/>
      <c r="CI8" s="193"/>
      <c r="CJ8" s="193"/>
      <c r="CK8" s="48"/>
      <c r="CL8" s="48"/>
      <c r="CM8" s="245"/>
      <c r="CN8" s="245"/>
      <c r="CO8" s="245"/>
      <c r="CP8" s="245"/>
      <c r="CQ8" s="245"/>
      <c r="CR8" s="245"/>
      <c r="CS8" s="245"/>
      <c r="CT8" s="245"/>
      <c r="CU8" s="245"/>
      <c r="CV8" s="245"/>
      <c r="CW8" s="234"/>
      <c r="CX8" s="234"/>
      <c r="CY8" s="234"/>
      <c r="CZ8" s="234"/>
      <c r="DA8" s="234"/>
      <c r="DB8" s="234"/>
      <c r="DC8" s="234"/>
      <c r="DD8" s="234"/>
      <c r="DE8" s="234"/>
      <c r="DF8" s="48"/>
      <c r="DG8" s="43"/>
      <c r="DH8" s="4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43"/>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45"/>
    </row>
    <row r="9" spans="1:184" ht="7.5" customHeight="1">
      <c r="A9" s="43"/>
      <c r="B9" s="46"/>
      <c r="C9" s="46"/>
      <c r="D9" s="46"/>
      <c r="E9" s="46"/>
      <c r="F9" s="46"/>
      <c r="G9" s="46"/>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44"/>
      <c r="BX9" s="44"/>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3"/>
      <c r="DH9" s="43"/>
      <c r="DI9" s="299" t="s">
        <v>311</v>
      </c>
      <c r="DJ9" s="299"/>
      <c r="DK9" s="299"/>
      <c r="DL9" s="299"/>
      <c r="DM9" s="299"/>
      <c r="DN9" s="299"/>
      <c r="DO9" s="299"/>
      <c r="DP9" s="299"/>
      <c r="DQ9" s="299"/>
      <c r="DR9" s="299"/>
      <c r="DS9" s="299"/>
      <c r="DT9" s="299"/>
      <c r="DU9" s="299"/>
      <c r="DV9" s="299"/>
      <c r="DW9" s="299"/>
      <c r="DX9" s="299"/>
      <c r="DY9" s="299"/>
      <c r="DZ9" s="299"/>
      <c r="EA9" s="299"/>
      <c r="EB9" s="299"/>
      <c r="EC9" s="299"/>
      <c r="ED9" s="299"/>
      <c r="EE9" s="299"/>
      <c r="EF9" s="299"/>
      <c r="EG9" s="299"/>
      <c r="EH9" s="299"/>
      <c r="EI9" s="299"/>
      <c r="EJ9" s="299"/>
      <c r="EK9" s="299"/>
      <c r="EL9" s="299"/>
      <c r="EM9" s="299"/>
      <c r="EN9" s="299"/>
      <c r="EO9" s="299"/>
      <c r="EP9" s="299"/>
      <c r="EQ9" s="43"/>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45"/>
    </row>
    <row r="10" spans="1:184" ht="7.5" customHeight="1">
      <c r="A10" s="43"/>
      <c r="B10" s="46"/>
      <c r="C10" s="46"/>
      <c r="D10" s="46"/>
      <c r="E10" s="46"/>
      <c r="F10" s="46"/>
      <c r="G10" s="46"/>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4"/>
      <c r="BX10" s="44"/>
      <c r="BY10" s="192" t="s">
        <v>137</v>
      </c>
      <c r="BZ10" s="192"/>
      <c r="CA10" s="192"/>
      <c r="CB10" s="192"/>
      <c r="CC10" s="192"/>
      <c r="CD10" s="192"/>
      <c r="CE10" s="192"/>
      <c r="CF10" s="192"/>
      <c r="CG10" s="192"/>
      <c r="CH10" s="234"/>
      <c r="CI10" s="234"/>
      <c r="CJ10" s="234"/>
      <c r="CK10" s="234"/>
      <c r="CL10" s="234"/>
      <c r="CM10" s="234"/>
      <c r="CN10" s="234"/>
      <c r="CO10" s="50"/>
      <c r="CP10" s="192" t="s">
        <v>138</v>
      </c>
      <c r="CQ10" s="192"/>
      <c r="CR10" s="192"/>
      <c r="CS10" s="192"/>
      <c r="CT10" s="192"/>
      <c r="CU10" s="192"/>
      <c r="CV10" s="192"/>
      <c r="CW10" s="192"/>
      <c r="CX10" s="192"/>
      <c r="CY10" s="234"/>
      <c r="CZ10" s="234"/>
      <c r="DA10" s="234"/>
      <c r="DB10" s="234"/>
      <c r="DC10" s="234"/>
      <c r="DD10" s="234"/>
      <c r="DE10" s="234"/>
      <c r="DF10" s="50"/>
      <c r="DG10" s="43"/>
      <c r="DH10" s="43"/>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43"/>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45"/>
    </row>
    <row r="11" spans="1:184" ht="7.5" customHeight="1">
      <c r="A11" s="43"/>
      <c r="B11" s="46"/>
      <c r="C11" s="46"/>
      <c r="D11" s="46"/>
      <c r="E11" s="46"/>
      <c r="F11" s="46"/>
      <c r="G11" s="46"/>
      <c r="H11" s="191" t="s">
        <v>113</v>
      </c>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44"/>
      <c r="BX11" s="44"/>
      <c r="BY11" s="192"/>
      <c r="BZ11" s="192"/>
      <c r="CA11" s="192"/>
      <c r="CB11" s="192"/>
      <c r="CC11" s="192"/>
      <c r="CD11" s="192"/>
      <c r="CE11" s="192"/>
      <c r="CF11" s="192"/>
      <c r="CG11" s="192"/>
      <c r="CH11" s="234"/>
      <c r="CI11" s="234"/>
      <c r="CJ11" s="234"/>
      <c r="CK11" s="234"/>
      <c r="CL11" s="234"/>
      <c r="CM11" s="234"/>
      <c r="CN11" s="234"/>
      <c r="CO11" s="50"/>
      <c r="CP11" s="192"/>
      <c r="CQ11" s="192"/>
      <c r="CR11" s="192"/>
      <c r="CS11" s="192"/>
      <c r="CT11" s="192"/>
      <c r="CU11" s="192"/>
      <c r="CV11" s="192"/>
      <c r="CW11" s="192"/>
      <c r="CX11" s="192"/>
      <c r="CY11" s="234"/>
      <c r="CZ11" s="234"/>
      <c r="DA11" s="234"/>
      <c r="DB11" s="234"/>
      <c r="DC11" s="234"/>
      <c r="DD11" s="234"/>
      <c r="DE11" s="234"/>
      <c r="DF11" s="50"/>
      <c r="DG11" s="43"/>
      <c r="DH11" s="43"/>
      <c r="DI11" s="231" t="s">
        <v>115</v>
      </c>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43"/>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45"/>
    </row>
    <row r="12" spans="1:184" ht="7.5" customHeight="1">
      <c r="A12" s="43"/>
      <c r="B12" s="46"/>
      <c r="C12" s="46"/>
      <c r="D12" s="46"/>
      <c r="E12" s="46"/>
      <c r="F12" s="46"/>
      <c r="G12" s="46"/>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44"/>
      <c r="BX12" s="44"/>
      <c r="BY12" s="48"/>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48"/>
      <c r="DG12" s="43"/>
      <c r="DH12" s="43"/>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43"/>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45"/>
    </row>
    <row r="13" spans="1:184" ht="7.5" customHeight="1">
      <c r="A13" s="43"/>
      <c r="B13" s="46"/>
      <c r="C13" s="46"/>
      <c r="D13" s="46"/>
      <c r="E13" s="46"/>
      <c r="F13" s="46"/>
      <c r="G13" s="46"/>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44"/>
      <c r="BX13" s="44"/>
      <c r="BY13" s="48"/>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48"/>
      <c r="DG13" s="43"/>
      <c r="DH13" s="43"/>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43"/>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45"/>
    </row>
    <row r="14" spans="1:184" ht="7.5" customHeight="1">
      <c r="A14" s="43"/>
      <c r="B14" s="51"/>
      <c r="C14" s="51"/>
      <c r="D14" s="51"/>
      <c r="E14" s="51"/>
      <c r="F14" s="51"/>
      <c r="G14" s="51"/>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44"/>
      <c r="BX14" s="44"/>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45"/>
    </row>
    <row r="15" spans="1:184" ht="7.5" customHeight="1">
      <c r="A15" s="43"/>
      <c r="B15" s="189" t="s">
        <v>308</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90" t="s">
        <v>386</v>
      </c>
      <c r="BK15" s="190"/>
      <c r="BL15" s="190"/>
      <c r="BM15" s="190"/>
      <c r="BN15" s="190"/>
      <c r="BO15" s="190"/>
      <c r="BP15" s="190"/>
      <c r="BQ15" s="190"/>
      <c r="BR15" s="190"/>
      <c r="BS15" s="190"/>
      <c r="BT15" s="190"/>
      <c r="BU15" s="190"/>
      <c r="BV15" s="190"/>
      <c r="BW15" s="53"/>
      <c r="BX15" s="53"/>
      <c r="BY15" s="187" t="s">
        <v>319</v>
      </c>
      <c r="BZ15" s="187"/>
      <c r="CA15" s="187"/>
      <c r="CB15" s="187"/>
      <c r="CC15" s="187"/>
      <c r="CD15" s="188" t="s">
        <v>320</v>
      </c>
      <c r="CE15" s="188"/>
      <c r="CF15" s="188"/>
      <c r="CG15" s="188"/>
      <c r="CH15" s="186" t="s">
        <v>318</v>
      </c>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54"/>
      <c r="DH15" s="54"/>
      <c r="DI15" s="233" t="s">
        <v>89</v>
      </c>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2" t="s">
        <v>91</v>
      </c>
      <c r="EO15" s="232"/>
      <c r="EP15" s="232"/>
      <c r="EQ15" s="43"/>
      <c r="ER15" s="233" t="str">
        <f>"CHECKLIST"&amp;IF(K27&gt;0," - "&amp;K27,"")&amp;IF(CH7&gt;0," (Batch "&amp;CH7&amp;")","")</f>
        <v>CHECKLIST - Zombie Dust Clone</v>
      </c>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2" t="s">
        <v>91</v>
      </c>
      <c r="FZ15" s="232"/>
      <c r="GA15" s="232"/>
      <c r="GB15" s="45"/>
    </row>
    <row r="16" spans="1:184" ht="7.5" customHeight="1">
      <c r="A16" s="43"/>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90"/>
      <c r="BK16" s="190"/>
      <c r="BL16" s="190"/>
      <c r="BM16" s="190"/>
      <c r="BN16" s="190"/>
      <c r="BO16" s="190"/>
      <c r="BP16" s="190"/>
      <c r="BQ16" s="190"/>
      <c r="BR16" s="190"/>
      <c r="BS16" s="190"/>
      <c r="BT16" s="190"/>
      <c r="BU16" s="190"/>
      <c r="BV16" s="190"/>
      <c r="BW16" s="53"/>
      <c r="BX16" s="53"/>
      <c r="BY16" s="187"/>
      <c r="BZ16" s="187"/>
      <c r="CA16" s="187"/>
      <c r="CB16" s="187"/>
      <c r="CC16" s="187"/>
      <c r="CD16" s="188"/>
      <c r="CE16" s="188"/>
      <c r="CF16" s="188"/>
      <c r="CG16" s="188"/>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54"/>
      <c r="DH16" s="54"/>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2"/>
      <c r="EO16" s="232"/>
      <c r="EP16" s="232"/>
      <c r="EQ16" s="4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2"/>
      <c r="FZ16" s="232"/>
      <c r="GA16" s="232"/>
      <c r="GB16" s="45"/>
    </row>
    <row r="17" spans="1:184" ht="7.5" customHeight="1">
      <c r="A17" s="43"/>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90"/>
      <c r="BK17" s="190"/>
      <c r="BL17" s="190"/>
      <c r="BM17" s="190"/>
      <c r="BN17" s="190"/>
      <c r="BO17" s="190"/>
      <c r="BP17" s="190"/>
      <c r="BQ17" s="190"/>
      <c r="BR17" s="190"/>
      <c r="BS17" s="190"/>
      <c r="BT17" s="190"/>
      <c r="BU17" s="190"/>
      <c r="BV17" s="190"/>
      <c r="BW17" s="53"/>
      <c r="BX17" s="53"/>
      <c r="BY17" s="187"/>
      <c r="BZ17" s="187"/>
      <c r="CA17" s="187"/>
      <c r="CB17" s="187"/>
      <c r="CC17" s="187"/>
      <c r="CD17" s="188"/>
      <c r="CE17" s="188"/>
      <c r="CF17" s="188"/>
      <c r="CG17" s="188"/>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54"/>
      <c r="DH17" s="54"/>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2"/>
      <c r="EO17" s="232"/>
      <c r="EP17" s="232"/>
      <c r="EQ17" s="4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2"/>
      <c r="FZ17" s="232"/>
      <c r="GA17" s="232"/>
      <c r="GB17" s="45"/>
    </row>
    <row r="18" spans="1:184" ht="7.5" customHeight="1">
      <c r="A18" s="43"/>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90"/>
      <c r="BK18" s="190"/>
      <c r="BL18" s="190"/>
      <c r="BM18" s="190"/>
      <c r="BN18" s="190"/>
      <c r="BO18" s="190"/>
      <c r="BP18" s="190"/>
      <c r="BQ18" s="190"/>
      <c r="BR18" s="190"/>
      <c r="BS18" s="190"/>
      <c r="BT18" s="190"/>
      <c r="BU18" s="190"/>
      <c r="BV18" s="190"/>
      <c r="BW18" s="53"/>
      <c r="BX18" s="53"/>
      <c r="BY18" s="187"/>
      <c r="BZ18" s="187"/>
      <c r="CA18" s="187"/>
      <c r="CB18" s="187"/>
      <c r="CC18" s="187"/>
      <c r="CD18" s="188"/>
      <c r="CE18" s="188"/>
      <c r="CF18" s="188"/>
      <c r="CG18" s="188"/>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54"/>
      <c r="DH18" s="54"/>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2"/>
      <c r="EO18" s="232"/>
      <c r="EP18" s="232"/>
      <c r="EQ18" s="4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2"/>
      <c r="FZ18" s="232"/>
      <c r="GA18" s="232"/>
      <c r="GB18" s="45"/>
    </row>
    <row r="19" spans="1:184" ht="7.5" customHeight="1">
      <c r="A19" s="43"/>
      <c r="B19" s="285" t="str">
        <f>IF(AND(K27&gt;0,Y30&gt;0,CH7&gt;0),Y30&amp;" -  "&amp;K27&amp;" - Batch"&amp;" "&amp;CH7,IF(AND(K27&gt;0,Y30&gt;0),Y30&amp;" -  "&amp;K27,IF(K27&gt;0,K27,"NEW USERS - White Sunken Cells are all you need to worry about.")))</f>
        <v>American IPA -  Zombie Dust Clone</v>
      </c>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55"/>
      <c r="BX19" s="55"/>
      <c r="BY19" s="230" t="s">
        <v>85</v>
      </c>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56"/>
      <c r="DH19" s="56"/>
      <c r="DI19" s="230" t="s">
        <v>94</v>
      </c>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43"/>
      <c r="ER19" s="247" t="s">
        <v>199</v>
      </c>
      <c r="ES19" s="247"/>
      <c r="ET19" s="247"/>
      <c r="EU19" s="247"/>
      <c r="EV19" s="247"/>
      <c r="EW19" s="247"/>
      <c r="EX19" s="213">
        <f>IF(CW7&gt;0,CW7,"")</f>
      </c>
      <c r="EY19" s="213"/>
      <c r="EZ19" s="213"/>
      <c r="FA19" s="213"/>
      <c r="FB19" s="213"/>
      <c r="FC19" s="213"/>
      <c r="FD19" s="247" t="s">
        <v>200</v>
      </c>
      <c r="FE19" s="247"/>
      <c r="FF19" s="247"/>
      <c r="FG19" s="247"/>
      <c r="FH19" s="247"/>
      <c r="FI19" s="247"/>
      <c r="FJ19" s="213">
        <f>IF(CH10&gt;0,CH10,"")</f>
      </c>
      <c r="FK19" s="213"/>
      <c r="FL19" s="213"/>
      <c r="FM19" s="213"/>
      <c r="FN19" s="213"/>
      <c r="FO19" s="213"/>
      <c r="FP19" s="247" t="s">
        <v>201</v>
      </c>
      <c r="FQ19" s="247"/>
      <c r="FR19" s="247"/>
      <c r="FS19" s="247"/>
      <c r="FT19" s="247"/>
      <c r="FU19" s="247"/>
      <c r="FV19" s="213">
        <f>IF(CY10&gt;0,CY10,"")</f>
      </c>
      <c r="FW19" s="213"/>
      <c r="FX19" s="213"/>
      <c r="FY19" s="213"/>
      <c r="FZ19" s="213"/>
      <c r="GA19" s="213"/>
      <c r="GB19" s="57"/>
    </row>
    <row r="20" spans="1:184" ht="7.5" customHeight="1">
      <c r="A20" s="43"/>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55"/>
      <c r="BX20" s="55"/>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56"/>
      <c r="DH20" s="56"/>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43"/>
      <c r="ER20" s="247"/>
      <c r="ES20" s="247"/>
      <c r="ET20" s="247"/>
      <c r="EU20" s="247"/>
      <c r="EV20" s="247"/>
      <c r="EW20" s="247"/>
      <c r="EX20" s="213"/>
      <c r="EY20" s="213"/>
      <c r="EZ20" s="213"/>
      <c r="FA20" s="213"/>
      <c r="FB20" s="213"/>
      <c r="FC20" s="213"/>
      <c r="FD20" s="247"/>
      <c r="FE20" s="247"/>
      <c r="FF20" s="247"/>
      <c r="FG20" s="247"/>
      <c r="FH20" s="247"/>
      <c r="FI20" s="247"/>
      <c r="FJ20" s="213"/>
      <c r="FK20" s="213"/>
      <c r="FL20" s="213"/>
      <c r="FM20" s="213"/>
      <c r="FN20" s="213"/>
      <c r="FO20" s="213"/>
      <c r="FP20" s="247"/>
      <c r="FQ20" s="247"/>
      <c r="FR20" s="247"/>
      <c r="FS20" s="247"/>
      <c r="FT20" s="247"/>
      <c r="FU20" s="247"/>
      <c r="FV20" s="213"/>
      <c r="FW20" s="213"/>
      <c r="FX20" s="213"/>
      <c r="FY20" s="213"/>
      <c r="FZ20" s="213"/>
      <c r="GA20" s="213"/>
      <c r="GB20" s="57"/>
    </row>
    <row r="21" spans="1:184" ht="7.5" customHeight="1">
      <c r="A21" s="43"/>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55"/>
      <c r="BX21" s="55"/>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56"/>
      <c r="DH21" s="56"/>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43"/>
      <c r="ER21" s="247"/>
      <c r="ES21" s="247"/>
      <c r="ET21" s="247"/>
      <c r="EU21" s="247"/>
      <c r="EV21" s="247"/>
      <c r="EW21" s="247"/>
      <c r="EX21" s="213"/>
      <c r="EY21" s="213"/>
      <c r="EZ21" s="213"/>
      <c r="FA21" s="213"/>
      <c r="FB21" s="213"/>
      <c r="FC21" s="213"/>
      <c r="FD21" s="247"/>
      <c r="FE21" s="247"/>
      <c r="FF21" s="247"/>
      <c r="FG21" s="247"/>
      <c r="FH21" s="247"/>
      <c r="FI21" s="247"/>
      <c r="FJ21" s="213"/>
      <c r="FK21" s="213"/>
      <c r="FL21" s="213"/>
      <c r="FM21" s="213"/>
      <c r="FN21" s="213"/>
      <c r="FO21" s="213"/>
      <c r="FP21" s="247"/>
      <c r="FQ21" s="247"/>
      <c r="FR21" s="247"/>
      <c r="FS21" s="247"/>
      <c r="FT21" s="247"/>
      <c r="FU21" s="247"/>
      <c r="FV21" s="213"/>
      <c r="FW21" s="213"/>
      <c r="FX21" s="213"/>
      <c r="FY21" s="213"/>
      <c r="FZ21" s="213"/>
      <c r="GA21" s="213"/>
      <c r="GB21" s="57"/>
    </row>
    <row r="22" spans="1:184" ht="7.5" customHeight="1">
      <c r="A22" s="43"/>
      <c r="B22" s="248" t="str">
        <f>IF(OR(DI22="WARNING: Liquor to Grain Ratio is too low - Check Sects B, C &amp; W.",BY22="WARNING: Volume into Boil exceeds kettle limits.",AM22="WARNING: Mash volume exceeds kettle size."),"RECIPE WON'T WORK!!! (Examine warnings to right carefully.)","")</f>
        <v>RECIPE WON'T WORK!!! (Examine warnings to right carefully.)</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58"/>
      <c r="AM22" s="248" t="str">
        <f>IF(AND(ISNUMBER(AV33),ISNUMBER(CQ33)),IF(CQ33&gt;AV33,"WARNING: Mash volume exceeds kettle size.",IF(AND(ISNUMBER(AV33),CQ33&gt;0.9*AV33),"WARNING: Mash volume approaches kettle limits.","")),"")</f>
        <v>WARNING: Mash volume exceeds kettle size.</v>
      </c>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59"/>
      <c r="BX22" s="59"/>
      <c r="BY22" s="248">
        <f>IF(AND(ISNUMBER(AV33),ISNUMBER(CQ133)),IF(AND(ISNUMBER(CQ36),ISNUMBER(AV33),(AV33-CQ36)&lt;0.15*AV33,(AV33-CQ36)&gt;0),"WARNING: Volume into Boil approaches kettle limits.",IF(AND(ISNUMBER(CQ36),ISNUMBER(AV33),(AV33-CQ36)&lt;0),"WARNING: Volume into Boil exceeds kettle limits.","")),"")</f>
      </c>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56"/>
      <c r="DH22" s="56"/>
      <c r="DI22" s="302">
        <f>IF(AND(ISNUMBER(EA82),OR(EA82&lt;0,EA82&gt;110,CQ133&lt;50)),"WARNING: Liquor to Grain Ratio is too low - Check Sects B, C &amp; W.","")</f>
      </c>
      <c r="DJ22" s="302"/>
      <c r="DK22" s="302"/>
      <c r="DL22" s="302"/>
      <c r="DM22" s="302"/>
      <c r="DN22" s="302"/>
      <c r="DO22" s="302"/>
      <c r="DP22" s="302"/>
      <c r="DQ22" s="302"/>
      <c r="DR22" s="302"/>
      <c r="DS22" s="302"/>
      <c r="DT22" s="302"/>
      <c r="DU22" s="302"/>
      <c r="DV22" s="302"/>
      <c r="DW22" s="302"/>
      <c r="DX22" s="302"/>
      <c r="DY22" s="302"/>
      <c r="DZ22" s="302"/>
      <c r="EA22" s="302"/>
      <c r="EB22" s="302"/>
      <c r="EC22" s="302"/>
      <c r="ED22" s="302"/>
      <c r="EE22" s="302"/>
      <c r="EF22" s="302"/>
      <c r="EG22" s="302"/>
      <c r="EH22" s="302"/>
      <c r="EI22" s="302"/>
      <c r="EJ22" s="302"/>
      <c r="EK22" s="302"/>
      <c r="EL22" s="302"/>
      <c r="EM22" s="302"/>
      <c r="EN22" s="302"/>
      <c r="EO22" s="302"/>
      <c r="EP22" s="302"/>
      <c r="EQ22" s="43"/>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45"/>
    </row>
    <row r="23" spans="1:184" ht="7.5" customHeight="1">
      <c r="A23" s="43"/>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5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44"/>
      <c r="BX23" s="44"/>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43"/>
      <c r="DH23" s="43"/>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43"/>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209"/>
      <c r="FY23" s="209"/>
      <c r="FZ23" s="209"/>
      <c r="GA23" s="209"/>
      <c r="GB23" s="45"/>
    </row>
    <row r="24" spans="1:184" ht="7.5" customHeight="1">
      <c r="A24" s="43"/>
      <c r="B24" s="158" t="s">
        <v>8</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5" t="s">
        <v>91</v>
      </c>
      <c r="AK24" s="156"/>
      <c r="AL24" s="19"/>
      <c r="AM24" s="158" t="s">
        <v>37</v>
      </c>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5" t="s">
        <v>91</v>
      </c>
      <c r="BV24" s="156"/>
      <c r="BW24" s="44"/>
      <c r="BX24" s="44"/>
      <c r="BY24" s="158" t="s">
        <v>243</v>
      </c>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5" t="s">
        <v>91</v>
      </c>
      <c r="DF24" s="156"/>
      <c r="DG24" s="43"/>
      <c r="DH24" s="43"/>
      <c r="DI24" s="158" t="s">
        <v>251</v>
      </c>
      <c r="DJ24" s="158"/>
      <c r="DK24" s="158"/>
      <c r="DL24" s="158"/>
      <c r="DM24" s="158"/>
      <c r="DN24" s="158"/>
      <c r="DO24" s="158"/>
      <c r="DP24" s="158"/>
      <c r="DQ24" s="158"/>
      <c r="DR24" s="158"/>
      <c r="DS24" s="158"/>
      <c r="DT24" s="158"/>
      <c r="DU24" s="158"/>
      <c r="DV24" s="158"/>
      <c r="DW24" s="155" t="s">
        <v>91</v>
      </c>
      <c r="DX24" s="156"/>
      <c r="DY24" s="19"/>
      <c r="DZ24" s="19"/>
      <c r="EA24" s="158" t="s">
        <v>252</v>
      </c>
      <c r="EB24" s="158"/>
      <c r="EC24" s="158"/>
      <c r="ED24" s="158"/>
      <c r="EE24" s="158"/>
      <c r="EF24" s="158"/>
      <c r="EG24" s="158"/>
      <c r="EH24" s="158"/>
      <c r="EI24" s="158"/>
      <c r="EJ24" s="158"/>
      <c r="EK24" s="158"/>
      <c r="EL24" s="158"/>
      <c r="EM24" s="158"/>
      <c r="EN24" s="158"/>
      <c r="EO24" s="155" t="s">
        <v>91</v>
      </c>
      <c r="EP24" s="156"/>
      <c r="EQ24" s="43"/>
      <c r="ER24" s="158" t="s">
        <v>255</v>
      </c>
      <c r="ES24" s="158"/>
      <c r="ET24" s="158"/>
      <c r="EU24" s="158"/>
      <c r="EV24" s="158"/>
      <c r="EW24" s="158"/>
      <c r="EX24" s="19"/>
      <c r="EY24" s="158" t="s">
        <v>104</v>
      </c>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60"/>
      <c r="FV24" s="158" t="s">
        <v>198</v>
      </c>
      <c r="FW24" s="158"/>
      <c r="FX24" s="158"/>
      <c r="FY24" s="158"/>
      <c r="FZ24" s="158"/>
      <c r="GA24" s="158"/>
      <c r="GB24" s="45"/>
    </row>
    <row r="25" spans="1:184" ht="7.5" customHeight="1">
      <c r="A25" s="43"/>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6"/>
      <c r="AK25" s="156"/>
      <c r="AL25" s="19"/>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6"/>
      <c r="BV25" s="156"/>
      <c r="BW25" s="44"/>
      <c r="BX25" s="44"/>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6"/>
      <c r="DF25" s="156"/>
      <c r="DG25" s="43"/>
      <c r="DH25" s="43"/>
      <c r="DI25" s="158"/>
      <c r="DJ25" s="158"/>
      <c r="DK25" s="158"/>
      <c r="DL25" s="158"/>
      <c r="DM25" s="158"/>
      <c r="DN25" s="158"/>
      <c r="DO25" s="158"/>
      <c r="DP25" s="158"/>
      <c r="DQ25" s="158"/>
      <c r="DR25" s="158"/>
      <c r="DS25" s="158"/>
      <c r="DT25" s="158"/>
      <c r="DU25" s="158"/>
      <c r="DV25" s="158"/>
      <c r="DW25" s="156"/>
      <c r="DX25" s="156"/>
      <c r="DY25" s="19"/>
      <c r="DZ25" s="19"/>
      <c r="EA25" s="158"/>
      <c r="EB25" s="158"/>
      <c r="EC25" s="158"/>
      <c r="ED25" s="158"/>
      <c r="EE25" s="158"/>
      <c r="EF25" s="158"/>
      <c r="EG25" s="158"/>
      <c r="EH25" s="158"/>
      <c r="EI25" s="158"/>
      <c r="EJ25" s="158"/>
      <c r="EK25" s="158"/>
      <c r="EL25" s="158"/>
      <c r="EM25" s="158"/>
      <c r="EN25" s="158"/>
      <c r="EO25" s="156"/>
      <c r="EP25" s="156"/>
      <c r="EQ25" s="43"/>
      <c r="ER25" s="158"/>
      <c r="ES25" s="158"/>
      <c r="ET25" s="158"/>
      <c r="EU25" s="158"/>
      <c r="EV25" s="158"/>
      <c r="EW25" s="158"/>
      <c r="EX25" s="19"/>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60"/>
      <c r="FV25" s="158"/>
      <c r="FW25" s="158"/>
      <c r="FX25" s="158"/>
      <c r="FY25" s="158"/>
      <c r="FZ25" s="158"/>
      <c r="GA25" s="158"/>
      <c r="GB25" s="45"/>
    </row>
    <row r="26" spans="1:184" ht="7.5" customHeight="1" thickBot="1">
      <c r="A26" s="43"/>
      <c r="B26" s="19"/>
      <c r="C26" s="19"/>
      <c r="D26" s="19"/>
      <c r="E26" s="19"/>
      <c r="F26" s="61"/>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44"/>
      <c r="BX26" s="44"/>
      <c r="BY26" s="19"/>
      <c r="BZ26" s="19"/>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19"/>
      <c r="DG26" s="43"/>
      <c r="DH26" s="43"/>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43"/>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45"/>
    </row>
    <row r="27" spans="1:184" ht="7.5" customHeight="1">
      <c r="A27" s="43"/>
      <c r="B27" s="19"/>
      <c r="C27" s="143" t="s">
        <v>2</v>
      </c>
      <c r="D27" s="143"/>
      <c r="E27" s="143"/>
      <c r="F27" s="143"/>
      <c r="G27" s="143"/>
      <c r="H27" s="143"/>
      <c r="I27" s="143"/>
      <c r="J27" s="143"/>
      <c r="K27" s="175" t="s">
        <v>395</v>
      </c>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9"/>
      <c r="AM27" s="165" t="s">
        <v>23</v>
      </c>
      <c r="AN27" s="165"/>
      <c r="AO27" s="165"/>
      <c r="AP27" s="165"/>
      <c r="AQ27" s="165"/>
      <c r="AR27" s="165"/>
      <c r="AS27" s="165"/>
      <c r="AT27" s="165"/>
      <c r="AU27" s="165"/>
      <c r="AV27" s="251">
        <v>28</v>
      </c>
      <c r="AW27" s="252"/>
      <c r="AX27" s="252"/>
      <c r="AY27" s="252"/>
      <c r="AZ27" s="132" t="s">
        <v>0</v>
      </c>
      <c r="BA27" s="209"/>
      <c r="BB27" s="179" t="s">
        <v>1</v>
      </c>
      <c r="BC27" s="223">
        <f>IF(ISNUMBER(AV27),AV27*0.3937007874016,"")</f>
        <v>11.023622047244801</v>
      </c>
      <c r="BD27" s="223"/>
      <c r="BE27" s="223"/>
      <c r="BF27" s="223"/>
      <c r="BG27" s="132" t="s">
        <v>25</v>
      </c>
      <c r="BH27" s="209"/>
      <c r="BI27" s="164" t="s">
        <v>87</v>
      </c>
      <c r="BJ27" s="164"/>
      <c r="BK27" s="164"/>
      <c r="BL27" s="164"/>
      <c r="BM27" s="164"/>
      <c r="BN27" s="164"/>
      <c r="BO27" s="164"/>
      <c r="BP27" s="164"/>
      <c r="BQ27" s="164"/>
      <c r="BR27" s="164"/>
      <c r="BS27" s="164"/>
      <c r="BT27" s="164"/>
      <c r="BU27" s="164"/>
      <c r="BV27" s="19"/>
      <c r="BW27" s="63"/>
      <c r="BX27" s="63"/>
      <c r="BY27" s="170" t="s">
        <v>21</v>
      </c>
      <c r="BZ27" s="170"/>
      <c r="CA27" s="170"/>
      <c r="CB27" s="170"/>
      <c r="CC27" s="170"/>
      <c r="CD27" s="170"/>
      <c r="CE27" s="170"/>
      <c r="CF27" s="170"/>
      <c r="CG27" s="170"/>
      <c r="CH27" s="170"/>
      <c r="CI27" s="170"/>
      <c r="CJ27" s="170"/>
      <c r="CK27" s="170"/>
      <c r="CL27" s="170"/>
      <c r="CM27" s="170"/>
      <c r="CN27" s="170"/>
      <c r="CO27" s="170"/>
      <c r="CP27" s="170"/>
      <c r="CQ27" s="224">
        <f>IF(AND(ISNUMBER(BH79),ISNUMBER(CQ36)),IF(EB104&gt;0,(EB104*BH79*(BX79)/100000)+CQ36+EA76+EA79,(0.6318*BH79*(BX79)/100000)+CQ36+EA76+EA79),"")</f>
        <v>16.725203263398704</v>
      </c>
      <c r="CR27" s="225"/>
      <c r="CS27" s="225"/>
      <c r="CT27" s="225"/>
      <c r="CU27" s="143" t="s">
        <v>6</v>
      </c>
      <c r="CV27" s="143"/>
      <c r="CW27" s="143"/>
      <c r="CX27" s="143"/>
      <c r="CY27" s="152" t="s">
        <v>1</v>
      </c>
      <c r="CZ27" s="150">
        <f>IF(ISNUMBER(CQ27),CQ27*0.2641720523582,"")</f>
        <v>4.4183312722001</v>
      </c>
      <c r="DA27" s="150"/>
      <c r="DB27" s="150"/>
      <c r="DC27" s="150"/>
      <c r="DD27" s="229" t="s">
        <v>7</v>
      </c>
      <c r="DE27" s="229"/>
      <c r="DF27" s="229"/>
      <c r="DG27" s="184" t="s">
        <v>173</v>
      </c>
      <c r="DH27" s="184"/>
      <c r="DI27" s="19"/>
      <c r="DJ27" s="151">
        <f>IF(AND(ISNUMBER(CQ27),$AV$27&gt;0),(CQ27-$EB$107)*1000/(PI()*(($AV$27/2)^2))+$EB$110,"")</f>
        <v>27.162232383536768</v>
      </c>
      <c r="DK27" s="151"/>
      <c r="DL27" s="151"/>
      <c r="DM27" s="151"/>
      <c r="DN27" s="143" t="s">
        <v>74</v>
      </c>
      <c r="DO27" s="143"/>
      <c r="DP27" s="143"/>
      <c r="DQ27" s="143"/>
      <c r="DR27" s="150">
        <f>IF(ISNUMBER(DJ27),DJ27/2.54,"")</f>
        <v>10.693792276982979</v>
      </c>
      <c r="DS27" s="150"/>
      <c r="DT27" s="150"/>
      <c r="DU27" s="150"/>
      <c r="DV27" s="143" t="s">
        <v>25</v>
      </c>
      <c r="DW27" s="143"/>
      <c r="DX27" s="19"/>
      <c r="DY27" s="19"/>
      <c r="DZ27" s="19"/>
      <c r="EA27" s="19"/>
      <c r="EB27" s="151">
        <f>IF(AND(ISNUMBER(DJ27),$AV$30&gt;0),$AV$30-DJ27,"")</f>
        <v>3.837767616463232</v>
      </c>
      <c r="EC27" s="151"/>
      <c r="ED27" s="151"/>
      <c r="EE27" s="151"/>
      <c r="EF27" s="143" t="s">
        <v>74</v>
      </c>
      <c r="EG27" s="143"/>
      <c r="EH27" s="143"/>
      <c r="EI27" s="143"/>
      <c r="EJ27" s="150">
        <f>IF(ISNUMBER(EB27),EB27/2.54,"")</f>
        <v>1.5109321324658394</v>
      </c>
      <c r="EK27" s="150"/>
      <c r="EL27" s="150"/>
      <c r="EM27" s="150"/>
      <c r="EN27" s="143" t="s">
        <v>25</v>
      </c>
      <c r="EO27" s="143"/>
      <c r="EP27" s="19"/>
      <c r="EQ27" s="43"/>
      <c r="ER27" s="19"/>
      <c r="ES27" s="215"/>
      <c r="ET27" s="200"/>
      <c r="EU27" s="200"/>
      <c r="EV27" s="200"/>
      <c r="EW27" s="200"/>
      <c r="EX27" s="18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64"/>
      <c r="FV27" s="201"/>
      <c r="FW27" s="201"/>
      <c r="FX27" s="201"/>
      <c r="FY27" s="201"/>
      <c r="FZ27" s="201"/>
      <c r="GA27" s="19"/>
      <c r="GB27" s="45"/>
    </row>
    <row r="28" spans="1:184" ht="7.5" customHeight="1">
      <c r="A28" s="43"/>
      <c r="B28" s="19"/>
      <c r="C28" s="143"/>
      <c r="D28" s="143"/>
      <c r="E28" s="143"/>
      <c r="F28" s="143"/>
      <c r="G28" s="143"/>
      <c r="H28" s="143"/>
      <c r="I28" s="143"/>
      <c r="J28" s="143"/>
      <c r="K28" s="177"/>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9"/>
      <c r="AM28" s="165"/>
      <c r="AN28" s="165"/>
      <c r="AO28" s="165"/>
      <c r="AP28" s="165"/>
      <c r="AQ28" s="165"/>
      <c r="AR28" s="165"/>
      <c r="AS28" s="165"/>
      <c r="AT28" s="165"/>
      <c r="AU28" s="165"/>
      <c r="AV28" s="253"/>
      <c r="AW28" s="254"/>
      <c r="AX28" s="254"/>
      <c r="AY28" s="254"/>
      <c r="AZ28" s="209"/>
      <c r="BA28" s="209"/>
      <c r="BB28" s="209"/>
      <c r="BC28" s="223"/>
      <c r="BD28" s="223"/>
      <c r="BE28" s="223"/>
      <c r="BF28" s="223"/>
      <c r="BG28" s="209"/>
      <c r="BH28" s="209"/>
      <c r="BI28" s="164"/>
      <c r="BJ28" s="164"/>
      <c r="BK28" s="164"/>
      <c r="BL28" s="164"/>
      <c r="BM28" s="164"/>
      <c r="BN28" s="164"/>
      <c r="BO28" s="164"/>
      <c r="BP28" s="164"/>
      <c r="BQ28" s="164"/>
      <c r="BR28" s="164"/>
      <c r="BS28" s="164"/>
      <c r="BT28" s="164"/>
      <c r="BU28" s="164"/>
      <c r="BV28" s="19"/>
      <c r="BW28" s="63"/>
      <c r="BX28" s="63"/>
      <c r="BY28" s="170"/>
      <c r="BZ28" s="170"/>
      <c r="CA28" s="170"/>
      <c r="CB28" s="170"/>
      <c r="CC28" s="170"/>
      <c r="CD28" s="170"/>
      <c r="CE28" s="170"/>
      <c r="CF28" s="170"/>
      <c r="CG28" s="170"/>
      <c r="CH28" s="170"/>
      <c r="CI28" s="170"/>
      <c r="CJ28" s="170"/>
      <c r="CK28" s="170"/>
      <c r="CL28" s="170"/>
      <c r="CM28" s="170"/>
      <c r="CN28" s="170"/>
      <c r="CO28" s="170"/>
      <c r="CP28" s="170"/>
      <c r="CQ28" s="226"/>
      <c r="CR28" s="227"/>
      <c r="CS28" s="227"/>
      <c r="CT28" s="227"/>
      <c r="CU28" s="143"/>
      <c r="CV28" s="143"/>
      <c r="CW28" s="143"/>
      <c r="CX28" s="143"/>
      <c r="CY28" s="242"/>
      <c r="CZ28" s="150"/>
      <c r="DA28" s="150"/>
      <c r="DB28" s="150"/>
      <c r="DC28" s="150"/>
      <c r="DD28" s="229"/>
      <c r="DE28" s="229"/>
      <c r="DF28" s="229"/>
      <c r="DG28" s="184"/>
      <c r="DH28" s="184"/>
      <c r="DI28" s="19"/>
      <c r="DJ28" s="151"/>
      <c r="DK28" s="151"/>
      <c r="DL28" s="151"/>
      <c r="DM28" s="151"/>
      <c r="DN28" s="143"/>
      <c r="DO28" s="143"/>
      <c r="DP28" s="143"/>
      <c r="DQ28" s="143"/>
      <c r="DR28" s="150"/>
      <c r="DS28" s="150"/>
      <c r="DT28" s="150"/>
      <c r="DU28" s="150"/>
      <c r="DV28" s="143"/>
      <c r="DW28" s="143"/>
      <c r="DX28" s="19"/>
      <c r="DY28" s="19" t="s">
        <v>173</v>
      </c>
      <c r="DZ28" s="19"/>
      <c r="EA28" s="19"/>
      <c r="EB28" s="151"/>
      <c r="EC28" s="151"/>
      <c r="ED28" s="151"/>
      <c r="EE28" s="151"/>
      <c r="EF28" s="143"/>
      <c r="EG28" s="143"/>
      <c r="EH28" s="143"/>
      <c r="EI28" s="143"/>
      <c r="EJ28" s="150"/>
      <c r="EK28" s="150"/>
      <c r="EL28" s="150"/>
      <c r="EM28" s="150"/>
      <c r="EN28" s="143"/>
      <c r="EO28" s="143"/>
      <c r="EP28" s="19"/>
      <c r="EQ28" s="43"/>
      <c r="ER28" s="19"/>
      <c r="ES28" s="200"/>
      <c r="ET28" s="200"/>
      <c r="EU28" s="200"/>
      <c r="EV28" s="200"/>
      <c r="EW28" s="200"/>
      <c r="EX28" s="18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64"/>
      <c r="FV28" s="201"/>
      <c r="FW28" s="201"/>
      <c r="FX28" s="201"/>
      <c r="FY28" s="201"/>
      <c r="FZ28" s="201"/>
      <c r="GA28" s="19"/>
      <c r="GB28" s="45"/>
    </row>
    <row r="29" spans="1:184" ht="7.5" customHeight="1" thickBot="1">
      <c r="A29" s="43"/>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65"/>
      <c r="BJ29" s="65"/>
      <c r="BK29" s="65"/>
      <c r="BL29" s="65"/>
      <c r="BM29" s="65"/>
      <c r="BN29" s="65"/>
      <c r="BO29" s="65"/>
      <c r="BP29" s="65"/>
      <c r="BQ29" s="65"/>
      <c r="BR29" s="65"/>
      <c r="BS29" s="65"/>
      <c r="BT29" s="65"/>
      <c r="BU29" s="65"/>
      <c r="BV29" s="19"/>
      <c r="BW29" s="44"/>
      <c r="BX29" s="44"/>
      <c r="BY29" s="19"/>
      <c r="BZ29" s="19"/>
      <c r="CA29" s="19"/>
      <c r="CB29" s="19"/>
      <c r="CC29" s="19"/>
      <c r="CD29" s="19"/>
      <c r="CE29" s="19"/>
      <c r="CF29" s="19"/>
      <c r="CG29" s="19"/>
      <c r="CH29" s="19"/>
      <c r="CI29" s="19"/>
      <c r="CJ29" s="19"/>
      <c r="CK29" s="19"/>
      <c r="CL29" s="19"/>
      <c r="CM29" s="19"/>
      <c r="CN29" s="19"/>
      <c r="CO29" s="19"/>
      <c r="CP29" s="19"/>
      <c r="CQ29" s="42"/>
      <c r="CR29" s="42"/>
      <c r="CS29" s="42"/>
      <c r="CT29" s="42"/>
      <c r="CU29" s="19"/>
      <c r="CV29" s="19"/>
      <c r="CW29" s="19"/>
      <c r="CX29" s="19"/>
      <c r="CY29" s="19"/>
      <c r="CZ29" s="42"/>
      <c r="DA29" s="42"/>
      <c r="DB29" s="42"/>
      <c r="DC29" s="42"/>
      <c r="DD29" s="19"/>
      <c r="DE29" s="19"/>
      <c r="DF29" s="19"/>
      <c r="DG29" s="43"/>
      <c r="DH29" s="43"/>
      <c r="DI29" s="19"/>
      <c r="DJ29" s="66"/>
      <c r="DK29" s="66"/>
      <c r="DL29" s="66"/>
      <c r="DM29" s="66"/>
      <c r="DN29" s="19"/>
      <c r="DO29" s="19"/>
      <c r="DP29" s="19"/>
      <c r="DQ29" s="19"/>
      <c r="DR29" s="42"/>
      <c r="DS29" s="42"/>
      <c r="DT29" s="42"/>
      <c r="DU29" s="42"/>
      <c r="DV29" s="19"/>
      <c r="DW29" s="19"/>
      <c r="DX29" s="19"/>
      <c r="DY29" s="19"/>
      <c r="DZ29" s="19"/>
      <c r="EA29" s="19"/>
      <c r="EB29" s="66"/>
      <c r="EC29" s="66"/>
      <c r="ED29" s="66"/>
      <c r="EE29" s="66"/>
      <c r="EF29" s="19"/>
      <c r="EG29" s="19"/>
      <c r="EH29" s="19"/>
      <c r="EI29" s="19"/>
      <c r="EJ29" s="42"/>
      <c r="EK29" s="42"/>
      <c r="EL29" s="42"/>
      <c r="EM29" s="42"/>
      <c r="EN29" s="19"/>
      <c r="EO29" s="19"/>
      <c r="EP29" s="19"/>
      <c r="EQ29" s="43"/>
      <c r="ER29" s="67"/>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19"/>
      <c r="GB29" s="45"/>
    </row>
    <row r="30" spans="1:184" ht="7.5" customHeight="1">
      <c r="A30" s="43"/>
      <c r="B30" s="165" t="s">
        <v>73</v>
      </c>
      <c r="C30" s="165"/>
      <c r="D30" s="165"/>
      <c r="E30" s="165"/>
      <c r="F30" s="165"/>
      <c r="G30" s="178"/>
      <c r="H30" s="178"/>
      <c r="I30" s="178"/>
      <c r="J30" s="178"/>
      <c r="K30" s="178"/>
      <c r="L30" s="178"/>
      <c r="M30" s="178"/>
      <c r="N30" s="178"/>
      <c r="O30" s="178"/>
      <c r="P30" s="178"/>
      <c r="Q30" s="178"/>
      <c r="R30" s="178"/>
      <c r="S30" s="178"/>
      <c r="T30" s="178"/>
      <c r="U30" s="132" t="s">
        <v>3</v>
      </c>
      <c r="V30" s="132"/>
      <c r="W30" s="132"/>
      <c r="X30" s="132"/>
      <c r="Y30" s="175" t="s">
        <v>396</v>
      </c>
      <c r="Z30" s="176"/>
      <c r="AA30" s="176"/>
      <c r="AB30" s="176"/>
      <c r="AC30" s="176"/>
      <c r="AD30" s="176"/>
      <c r="AE30" s="176"/>
      <c r="AF30" s="176"/>
      <c r="AG30" s="176"/>
      <c r="AH30" s="176"/>
      <c r="AI30" s="176"/>
      <c r="AJ30" s="176"/>
      <c r="AK30" s="176"/>
      <c r="AL30" s="19"/>
      <c r="AM30" s="165" t="s">
        <v>22</v>
      </c>
      <c r="AN30" s="165"/>
      <c r="AO30" s="165"/>
      <c r="AP30" s="165"/>
      <c r="AQ30" s="165"/>
      <c r="AR30" s="165"/>
      <c r="AS30" s="165"/>
      <c r="AT30" s="165"/>
      <c r="AU30" s="165"/>
      <c r="AV30" s="251">
        <v>31</v>
      </c>
      <c r="AW30" s="252"/>
      <c r="AX30" s="252"/>
      <c r="AY30" s="252"/>
      <c r="AZ30" s="132" t="s">
        <v>0</v>
      </c>
      <c r="BA30" s="132"/>
      <c r="BB30" s="179" t="s">
        <v>1</v>
      </c>
      <c r="BC30" s="223">
        <f>IF(ISNUMBER(AV30),AV30*0.3937007874016,"")</f>
        <v>12.2047244094496</v>
      </c>
      <c r="BD30" s="223"/>
      <c r="BE30" s="223"/>
      <c r="BF30" s="223"/>
      <c r="BG30" s="132" t="s">
        <v>25</v>
      </c>
      <c r="BH30" s="209"/>
      <c r="BI30" s="243" t="s">
        <v>88</v>
      </c>
      <c r="BJ30" s="244"/>
      <c r="BK30" s="244"/>
      <c r="BL30" s="244"/>
      <c r="BM30" s="244"/>
      <c r="BN30" s="244"/>
      <c r="BO30" s="244"/>
      <c r="BP30" s="244"/>
      <c r="BQ30" s="244"/>
      <c r="BR30" s="244"/>
      <c r="BS30" s="244"/>
      <c r="BT30" s="244"/>
      <c r="BU30" s="244"/>
      <c r="BV30" s="19"/>
      <c r="BW30" s="44"/>
      <c r="BX30" s="44"/>
      <c r="BY30" s="165" t="s">
        <v>163</v>
      </c>
      <c r="BZ30" s="165"/>
      <c r="CA30" s="165"/>
      <c r="CB30" s="165"/>
      <c r="CC30" s="165"/>
      <c r="CD30" s="165"/>
      <c r="CE30" s="165"/>
      <c r="CF30" s="165"/>
      <c r="CG30" s="165"/>
      <c r="CH30" s="165"/>
      <c r="CI30" s="165"/>
      <c r="CJ30" s="165"/>
      <c r="CK30" s="165"/>
      <c r="CL30" s="165"/>
      <c r="CM30" s="165"/>
      <c r="CN30" s="165"/>
      <c r="CO30" s="165"/>
      <c r="CP30" s="165"/>
      <c r="CQ30" s="144">
        <f>IF(AND(ISNUMBER(CQ27),ISNUMBER(EA64)),(CQ27-EA64)*1.019794,IF(ISNUMBER(CQ27),CQ27*1.019794,""))</f>
        <v>17.05626193679442</v>
      </c>
      <c r="CR30" s="144"/>
      <c r="CS30" s="144"/>
      <c r="CT30" s="144"/>
      <c r="CU30" s="132" t="s">
        <v>6</v>
      </c>
      <c r="CV30" s="132"/>
      <c r="CW30" s="132"/>
      <c r="CX30" s="132"/>
      <c r="CY30" s="179" t="s">
        <v>1</v>
      </c>
      <c r="CZ30" s="223">
        <f>IF(ISNUMBER(CQ30),CQ30*0.2641720523582,"")</f>
        <v>4.505787721402029</v>
      </c>
      <c r="DA30" s="223"/>
      <c r="DB30" s="223"/>
      <c r="DC30" s="223"/>
      <c r="DD30" s="164" t="s">
        <v>7</v>
      </c>
      <c r="DE30" s="164"/>
      <c r="DF30" s="164"/>
      <c r="DG30" s="184" t="s">
        <v>173</v>
      </c>
      <c r="DH30" s="184"/>
      <c r="DI30" s="19"/>
      <c r="DJ30" s="194">
        <f>IF(AND(ISNUMBER(CQ30),$AV$27&gt;0),(CQ30-$EB$107)*1000/(PI()*(($AV$27/2)^2))+$EB$110,"")</f>
        <v>27.699881611336497</v>
      </c>
      <c r="DK30" s="194"/>
      <c r="DL30" s="194"/>
      <c r="DM30" s="194"/>
      <c r="DN30" s="132" t="s">
        <v>74</v>
      </c>
      <c r="DO30" s="132"/>
      <c r="DP30" s="132"/>
      <c r="DQ30" s="132"/>
      <c r="DR30" s="223">
        <f>IF(ISNUMBER(DJ30),DJ30/2.54,"")</f>
        <v>10.905465201313582</v>
      </c>
      <c r="DS30" s="223"/>
      <c r="DT30" s="223"/>
      <c r="DU30" s="223"/>
      <c r="DV30" s="132" t="s">
        <v>25</v>
      </c>
      <c r="DW30" s="132"/>
      <c r="DX30" s="19"/>
      <c r="DY30" s="19"/>
      <c r="DZ30" s="19"/>
      <c r="EA30" s="19"/>
      <c r="EB30" s="194">
        <f>IF(AND(ISNUMBER(DJ30),$AV$30&gt;0),$AV$30-DJ30,"")</f>
        <v>3.3001183886635026</v>
      </c>
      <c r="EC30" s="194"/>
      <c r="ED30" s="194"/>
      <c r="EE30" s="194"/>
      <c r="EF30" s="132" t="s">
        <v>74</v>
      </c>
      <c r="EG30" s="132"/>
      <c r="EH30" s="132"/>
      <c r="EI30" s="132"/>
      <c r="EJ30" s="223">
        <f>IF(ISNUMBER(EB30),EB30/2.54,"")</f>
        <v>1.2992592081352372</v>
      </c>
      <c r="EK30" s="223"/>
      <c r="EL30" s="223"/>
      <c r="EM30" s="223"/>
      <c r="EN30" s="132" t="s">
        <v>25</v>
      </c>
      <c r="EO30" s="132"/>
      <c r="EP30" s="19"/>
      <c r="EQ30" s="43"/>
      <c r="ER30" s="19"/>
      <c r="ES30" s="215"/>
      <c r="ET30" s="200"/>
      <c r="EU30" s="200"/>
      <c r="EV30" s="200"/>
      <c r="EW30" s="200"/>
      <c r="EX30" s="18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64"/>
      <c r="FV30" s="201"/>
      <c r="FW30" s="201"/>
      <c r="FX30" s="201"/>
      <c r="FY30" s="201"/>
      <c r="FZ30" s="201"/>
      <c r="GA30" s="19"/>
      <c r="GB30" s="45"/>
    </row>
    <row r="31" spans="1:184" ht="7.5" customHeight="1">
      <c r="A31" s="43"/>
      <c r="B31" s="165"/>
      <c r="C31" s="165"/>
      <c r="D31" s="165"/>
      <c r="E31" s="165"/>
      <c r="F31" s="165"/>
      <c r="G31" s="178"/>
      <c r="H31" s="178"/>
      <c r="I31" s="178"/>
      <c r="J31" s="178"/>
      <c r="K31" s="178"/>
      <c r="L31" s="178"/>
      <c r="M31" s="178"/>
      <c r="N31" s="178"/>
      <c r="O31" s="178"/>
      <c r="P31" s="178"/>
      <c r="Q31" s="178"/>
      <c r="R31" s="178"/>
      <c r="S31" s="178"/>
      <c r="T31" s="178"/>
      <c r="U31" s="132"/>
      <c r="V31" s="132"/>
      <c r="W31" s="132"/>
      <c r="X31" s="132"/>
      <c r="Y31" s="177"/>
      <c r="Z31" s="178"/>
      <c r="AA31" s="178"/>
      <c r="AB31" s="178"/>
      <c r="AC31" s="178"/>
      <c r="AD31" s="178"/>
      <c r="AE31" s="178"/>
      <c r="AF31" s="178"/>
      <c r="AG31" s="178"/>
      <c r="AH31" s="178"/>
      <c r="AI31" s="178"/>
      <c r="AJ31" s="178"/>
      <c r="AK31" s="178"/>
      <c r="AL31" s="19"/>
      <c r="AM31" s="165"/>
      <c r="AN31" s="165"/>
      <c r="AO31" s="165"/>
      <c r="AP31" s="165"/>
      <c r="AQ31" s="165"/>
      <c r="AR31" s="165"/>
      <c r="AS31" s="165"/>
      <c r="AT31" s="165"/>
      <c r="AU31" s="165"/>
      <c r="AV31" s="253"/>
      <c r="AW31" s="254"/>
      <c r="AX31" s="254"/>
      <c r="AY31" s="254"/>
      <c r="AZ31" s="132"/>
      <c r="BA31" s="132"/>
      <c r="BB31" s="132"/>
      <c r="BC31" s="223"/>
      <c r="BD31" s="223"/>
      <c r="BE31" s="223"/>
      <c r="BF31" s="223"/>
      <c r="BG31" s="209"/>
      <c r="BH31" s="209"/>
      <c r="BI31" s="244"/>
      <c r="BJ31" s="244"/>
      <c r="BK31" s="244"/>
      <c r="BL31" s="244"/>
      <c r="BM31" s="244"/>
      <c r="BN31" s="244"/>
      <c r="BO31" s="244"/>
      <c r="BP31" s="244"/>
      <c r="BQ31" s="244"/>
      <c r="BR31" s="244"/>
      <c r="BS31" s="244"/>
      <c r="BT31" s="244"/>
      <c r="BU31" s="244"/>
      <c r="BV31" s="19"/>
      <c r="BW31" s="44"/>
      <c r="BX31" s="44"/>
      <c r="BY31" s="165"/>
      <c r="BZ31" s="165"/>
      <c r="CA31" s="165"/>
      <c r="CB31" s="165"/>
      <c r="CC31" s="165"/>
      <c r="CD31" s="165"/>
      <c r="CE31" s="165"/>
      <c r="CF31" s="165"/>
      <c r="CG31" s="165"/>
      <c r="CH31" s="165"/>
      <c r="CI31" s="165"/>
      <c r="CJ31" s="165"/>
      <c r="CK31" s="165"/>
      <c r="CL31" s="165"/>
      <c r="CM31" s="165"/>
      <c r="CN31" s="165"/>
      <c r="CO31" s="165"/>
      <c r="CP31" s="165"/>
      <c r="CQ31" s="144"/>
      <c r="CR31" s="144"/>
      <c r="CS31" s="144"/>
      <c r="CT31" s="144"/>
      <c r="CU31" s="132"/>
      <c r="CV31" s="132"/>
      <c r="CW31" s="132"/>
      <c r="CX31" s="132"/>
      <c r="CY31" s="212"/>
      <c r="CZ31" s="223"/>
      <c r="DA31" s="223"/>
      <c r="DB31" s="223"/>
      <c r="DC31" s="223"/>
      <c r="DD31" s="164"/>
      <c r="DE31" s="164"/>
      <c r="DF31" s="164"/>
      <c r="DG31" s="184"/>
      <c r="DH31" s="184"/>
      <c r="DI31" s="19"/>
      <c r="DJ31" s="194"/>
      <c r="DK31" s="194"/>
      <c r="DL31" s="194"/>
      <c r="DM31" s="194"/>
      <c r="DN31" s="132"/>
      <c r="DO31" s="132"/>
      <c r="DP31" s="132"/>
      <c r="DQ31" s="132"/>
      <c r="DR31" s="223"/>
      <c r="DS31" s="223"/>
      <c r="DT31" s="223"/>
      <c r="DU31" s="223"/>
      <c r="DV31" s="132"/>
      <c r="DW31" s="132"/>
      <c r="DX31" s="19"/>
      <c r="DY31" s="19" t="s">
        <v>173</v>
      </c>
      <c r="DZ31" s="19"/>
      <c r="EA31" s="19"/>
      <c r="EB31" s="194"/>
      <c r="EC31" s="194"/>
      <c r="ED31" s="194"/>
      <c r="EE31" s="194"/>
      <c r="EF31" s="132"/>
      <c r="EG31" s="132"/>
      <c r="EH31" s="132"/>
      <c r="EI31" s="132"/>
      <c r="EJ31" s="223"/>
      <c r="EK31" s="223"/>
      <c r="EL31" s="223"/>
      <c r="EM31" s="223"/>
      <c r="EN31" s="132"/>
      <c r="EO31" s="132"/>
      <c r="EP31" s="19"/>
      <c r="EQ31" s="43"/>
      <c r="ER31" s="19"/>
      <c r="ES31" s="200"/>
      <c r="ET31" s="200"/>
      <c r="EU31" s="200"/>
      <c r="EV31" s="200"/>
      <c r="EW31" s="200"/>
      <c r="EX31" s="18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64"/>
      <c r="FV31" s="201"/>
      <c r="FW31" s="201"/>
      <c r="FX31" s="201"/>
      <c r="FY31" s="201"/>
      <c r="FZ31" s="201"/>
      <c r="GA31" s="19"/>
      <c r="GB31" s="45"/>
    </row>
    <row r="32" spans="1:184" ht="7.5" customHeight="1" thickBot="1">
      <c r="A32" s="43"/>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44"/>
      <c r="BX32" s="44"/>
      <c r="BY32" s="19"/>
      <c r="BZ32" s="19"/>
      <c r="CA32" s="19"/>
      <c r="CB32" s="19"/>
      <c r="CC32" s="19"/>
      <c r="CD32" s="19"/>
      <c r="CE32" s="19"/>
      <c r="CF32" s="19"/>
      <c r="CG32" s="19"/>
      <c r="CH32" s="19"/>
      <c r="CI32" s="19"/>
      <c r="CJ32" s="19"/>
      <c r="CK32" s="19"/>
      <c r="CL32" s="19"/>
      <c r="CM32" s="19"/>
      <c r="CN32" s="19"/>
      <c r="CO32" s="19"/>
      <c r="CP32" s="19"/>
      <c r="CQ32" s="42"/>
      <c r="CR32" s="42"/>
      <c r="CS32" s="42"/>
      <c r="CT32" s="42"/>
      <c r="CU32" s="19"/>
      <c r="CV32" s="19"/>
      <c r="CW32" s="19"/>
      <c r="CX32" s="19"/>
      <c r="CY32" s="19"/>
      <c r="CZ32" s="42"/>
      <c r="DA32" s="42"/>
      <c r="DB32" s="42"/>
      <c r="DC32" s="42"/>
      <c r="DD32" s="19"/>
      <c r="DE32" s="19"/>
      <c r="DF32" s="19"/>
      <c r="DG32" s="43"/>
      <c r="DH32" s="43"/>
      <c r="DI32" s="19"/>
      <c r="DJ32" s="66"/>
      <c r="DK32" s="66"/>
      <c r="DL32" s="66"/>
      <c r="DM32" s="66"/>
      <c r="DN32" s="19"/>
      <c r="DO32" s="19"/>
      <c r="DP32" s="19"/>
      <c r="DQ32" s="19"/>
      <c r="DR32" s="42"/>
      <c r="DS32" s="42"/>
      <c r="DT32" s="42"/>
      <c r="DU32" s="42"/>
      <c r="DV32" s="19"/>
      <c r="DW32" s="19"/>
      <c r="DX32" s="19"/>
      <c r="DY32" s="19"/>
      <c r="DZ32" s="19"/>
      <c r="EA32" s="19"/>
      <c r="EB32" s="66"/>
      <c r="EC32" s="66"/>
      <c r="ED32" s="66"/>
      <c r="EE32" s="66"/>
      <c r="EF32" s="19"/>
      <c r="EG32" s="19"/>
      <c r="EH32" s="19"/>
      <c r="EI32" s="19"/>
      <c r="EJ32" s="42"/>
      <c r="EK32" s="42"/>
      <c r="EL32" s="42"/>
      <c r="EM32" s="42"/>
      <c r="EN32" s="19"/>
      <c r="EO32" s="19"/>
      <c r="EP32" s="19"/>
      <c r="EQ32" s="43"/>
      <c r="ER32" s="67"/>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19"/>
      <c r="GB32" s="45"/>
    </row>
    <row r="33" spans="1:184" ht="7.5" customHeight="1">
      <c r="A33" s="43"/>
      <c r="B33" s="132" t="s">
        <v>238</v>
      </c>
      <c r="C33" s="132"/>
      <c r="D33" s="132"/>
      <c r="E33" s="132"/>
      <c r="F33" s="132"/>
      <c r="G33" s="132"/>
      <c r="H33" s="132"/>
      <c r="I33" s="132"/>
      <c r="J33" s="132"/>
      <c r="K33" s="132"/>
      <c r="L33" s="132"/>
      <c r="M33" s="132"/>
      <c r="N33" s="132"/>
      <c r="O33" s="132"/>
      <c r="P33" s="250">
        <f>IF(ISNUMBER(BC46),BC46,IF(ISNUMBER(AA46),AA46,""))</f>
        <v>1.061</v>
      </c>
      <c r="Q33" s="250"/>
      <c r="R33" s="250"/>
      <c r="S33" s="250"/>
      <c r="T33" s="19"/>
      <c r="U33" s="132" t="s">
        <v>117</v>
      </c>
      <c r="V33" s="132"/>
      <c r="W33" s="132"/>
      <c r="X33" s="132"/>
      <c r="Y33" s="132"/>
      <c r="Z33" s="132"/>
      <c r="AA33" s="284">
        <f>IF(ISNUMBER(BP89),BP89,IF(ISNUMBER(BR122),BR122,""))</f>
        <v>62.42</v>
      </c>
      <c r="AB33" s="284"/>
      <c r="AC33" s="284"/>
      <c r="AD33" s="284"/>
      <c r="AE33" s="132" t="s">
        <v>95</v>
      </c>
      <c r="AF33" s="132"/>
      <c r="AG33" s="132"/>
      <c r="AH33" s="151">
        <f>IF(AND(ISNUMBER(P33),BT46="y"),(P33-((P33-1)*(1-IF(B179&gt;0,B179,75)/100)+1))*1000*0.129+0.2,IF(ISNUMBER(P33),(P33-((P33-1)*(1-IF(B179&gt;0,B179,75)/100)+1))*1000*0.129,""))</f>
        <v>5.9017499999999945</v>
      </c>
      <c r="AI33" s="151"/>
      <c r="AJ33" s="151"/>
      <c r="AK33" s="229" t="s">
        <v>9</v>
      </c>
      <c r="AL33" s="229"/>
      <c r="AM33" s="170" t="s">
        <v>24</v>
      </c>
      <c r="AN33" s="170"/>
      <c r="AO33" s="170"/>
      <c r="AP33" s="170"/>
      <c r="AQ33" s="170"/>
      <c r="AR33" s="170"/>
      <c r="AS33" s="170"/>
      <c r="AT33" s="170"/>
      <c r="AU33" s="170"/>
      <c r="AV33" s="194">
        <f>IF(AND(AV27&gt;0,AV30&gt;0),IF(AND(EB107&gt;0,EB110&gt;0),(PI()*(AV27/2*AV27/2)*(AV30-EB110)/1000)+EB107,IF(EB107&gt;0,(PI()*(AV27/2*AV27/2)*AV30/1000)+EB107,(PI()*(AV27/2*AV27/2)*AV30/1000))),"")</f>
        <v>19.088316963211582</v>
      </c>
      <c r="AW33" s="194"/>
      <c r="AX33" s="194"/>
      <c r="AY33" s="194"/>
      <c r="AZ33" s="132" t="s">
        <v>5</v>
      </c>
      <c r="BA33" s="132"/>
      <c r="BB33" s="179" t="s">
        <v>1</v>
      </c>
      <c r="BC33" s="144">
        <f>IF(ISNUMBER(AV33),AV33*0.2641720523582,"")</f>
        <v>5.042599868235448</v>
      </c>
      <c r="BD33" s="144"/>
      <c r="BE33" s="144"/>
      <c r="BF33" s="144"/>
      <c r="BG33" s="164" t="s">
        <v>7</v>
      </c>
      <c r="BH33" s="164"/>
      <c r="BI33" s="164"/>
      <c r="BJ33" s="245" t="s">
        <v>126</v>
      </c>
      <c r="BK33" s="245"/>
      <c r="BL33" s="245"/>
      <c r="BM33" s="245"/>
      <c r="BN33" s="245"/>
      <c r="BO33" s="245"/>
      <c r="BP33" s="260">
        <v>60</v>
      </c>
      <c r="BQ33" s="261"/>
      <c r="BR33" s="261"/>
      <c r="BS33" s="244" t="s">
        <v>53</v>
      </c>
      <c r="BT33" s="244"/>
      <c r="BU33" s="244"/>
      <c r="BV33" s="19"/>
      <c r="BW33" s="44"/>
      <c r="BX33" s="44"/>
      <c r="BY33" s="170" t="s">
        <v>19</v>
      </c>
      <c r="BZ33" s="170"/>
      <c r="CA33" s="170"/>
      <c r="CB33" s="170"/>
      <c r="CC33" s="170"/>
      <c r="CD33" s="170"/>
      <c r="CE33" s="170"/>
      <c r="CF33" s="170"/>
      <c r="CG33" s="170"/>
      <c r="CH33" s="170"/>
      <c r="CI33" s="170"/>
      <c r="CJ33" s="170"/>
      <c r="CK33" s="170"/>
      <c r="CL33" s="170"/>
      <c r="CM33" s="170"/>
      <c r="CN33" s="170"/>
      <c r="CO33" s="170"/>
      <c r="CP33" s="170"/>
      <c r="CQ33" s="224">
        <f>IF(ISNUMBER(BH79),IF(AND(ISNUMBER(CQ27),ISNUMBER(EA64)),((CQ27-EA67-EA73-EA76-EA79)*1.019794)+(BH79*(BX79)/100000*0.75),IF(ISNUMBER(CQ30),CQ30+(BH79*(BX79)/100000*0.75))),"")</f>
        <v>19.377483050726806</v>
      </c>
      <c r="CR33" s="225"/>
      <c r="CS33" s="225"/>
      <c r="CT33" s="225"/>
      <c r="CU33" s="143" t="s">
        <v>6</v>
      </c>
      <c r="CV33" s="143"/>
      <c r="CW33" s="143"/>
      <c r="CX33" s="143"/>
      <c r="CY33" s="152" t="s">
        <v>1</v>
      </c>
      <c r="CZ33" s="150">
        <f>IF(ISNUMBER(CQ33),CQ33*0.2641720523582,"")</f>
        <v>5.1189894670467355</v>
      </c>
      <c r="DA33" s="150"/>
      <c r="DB33" s="150"/>
      <c r="DC33" s="150"/>
      <c r="DD33" s="229" t="s">
        <v>7</v>
      </c>
      <c r="DE33" s="229"/>
      <c r="DF33" s="229"/>
      <c r="DG33" s="184" t="s">
        <v>173</v>
      </c>
      <c r="DH33" s="184"/>
      <c r="DI33" s="19"/>
      <c r="DJ33" s="151">
        <f>IF(AND(ISNUMBER(CQ33),$AV$27&gt;0),(CQ33-$EB$107)*1000/(PI()*(($AV$27/2)^2))+$EB$110,"")</f>
        <v>31.469614410230523</v>
      </c>
      <c r="DK33" s="151"/>
      <c r="DL33" s="151"/>
      <c r="DM33" s="151"/>
      <c r="DN33" s="143" t="s">
        <v>74</v>
      </c>
      <c r="DO33" s="143"/>
      <c r="DP33" s="143"/>
      <c r="DQ33" s="143"/>
      <c r="DR33" s="150">
        <f>IF(ISNUMBER(DJ33),DJ33/2.54,"")</f>
        <v>12.389611972531702</v>
      </c>
      <c r="DS33" s="150"/>
      <c r="DT33" s="150"/>
      <c r="DU33" s="150"/>
      <c r="DV33" s="143" t="s">
        <v>25</v>
      </c>
      <c r="DW33" s="143"/>
      <c r="DX33" s="19"/>
      <c r="DY33" s="19"/>
      <c r="DZ33" s="19"/>
      <c r="EA33" s="19"/>
      <c r="EB33" s="151">
        <f>IF(AND(ISNUMBER(DJ33),$AV$30&gt;0),$AV$30-DJ33,"")</f>
        <v>-0.4696144102305233</v>
      </c>
      <c r="EC33" s="151"/>
      <c r="ED33" s="151"/>
      <c r="EE33" s="151"/>
      <c r="EF33" s="143" t="s">
        <v>74</v>
      </c>
      <c r="EG33" s="143"/>
      <c r="EH33" s="143"/>
      <c r="EI33" s="143"/>
      <c r="EJ33" s="150">
        <f>IF(ISNUMBER(EB33),EB33/2.54,"")</f>
        <v>-0.18488756308288318</v>
      </c>
      <c r="EK33" s="150"/>
      <c r="EL33" s="150"/>
      <c r="EM33" s="150"/>
      <c r="EN33" s="143" t="s">
        <v>25</v>
      </c>
      <c r="EO33" s="143"/>
      <c r="EP33" s="19"/>
      <c r="EQ33" s="43"/>
      <c r="ER33" s="19"/>
      <c r="ES33" s="200"/>
      <c r="ET33" s="200"/>
      <c r="EU33" s="200"/>
      <c r="EV33" s="200"/>
      <c r="EW33" s="200"/>
      <c r="EX33" s="18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64"/>
      <c r="FV33" s="201"/>
      <c r="FW33" s="201"/>
      <c r="FX33" s="201"/>
      <c r="FY33" s="201"/>
      <c r="FZ33" s="201"/>
      <c r="GA33" s="19"/>
      <c r="GB33" s="45"/>
    </row>
    <row r="34" spans="1:184" ht="7.5" customHeight="1">
      <c r="A34" s="43"/>
      <c r="B34" s="132"/>
      <c r="C34" s="132"/>
      <c r="D34" s="132"/>
      <c r="E34" s="132"/>
      <c r="F34" s="132"/>
      <c r="G34" s="132"/>
      <c r="H34" s="132"/>
      <c r="I34" s="132"/>
      <c r="J34" s="132"/>
      <c r="K34" s="132"/>
      <c r="L34" s="132"/>
      <c r="M34" s="132"/>
      <c r="N34" s="132"/>
      <c r="O34" s="132"/>
      <c r="P34" s="250"/>
      <c r="Q34" s="250"/>
      <c r="R34" s="250"/>
      <c r="S34" s="250"/>
      <c r="T34" s="19"/>
      <c r="U34" s="132"/>
      <c r="V34" s="132"/>
      <c r="W34" s="132"/>
      <c r="X34" s="132"/>
      <c r="Y34" s="132"/>
      <c r="Z34" s="132"/>
      <c r="AA34" s="284"/>
      <c r="AB34" s="284"/>
      <c r="AC34" s="284"/>
      <c r="AD34" s="284"/>
      <c r="AE34" s="132"/>
      <c r="AF34" s="132"/>
      <c r="AG34" s="132"/>
      <c r="AH34" s="151"/>
      <c r="AI34" s="151"/>
      <c r="AJ34" s="151"/>
      <c r="AK34" s="229"/>
      <c r="AL34" s="229"/>
      <c r="AM34" s="170"/>
      <c r="AN34" s="170"/>
      <c r="AO34" s="170"/>
      <c r="AP34" s="170"/>
      <c r="AQ34" s="170"/>
      <c r="AR34" s="170"/>
      <c r="AS34" s="170"/>
      <c r="AT34" s="170"/>
      <c r="AU34" s="170"/>
      <c r="AV34" s="194"/>
      <c r="AW34" s="194"/>
      <c r="AX34" s="194"/>
      <c r="AY34" s="194"/>
      <c r="AZ34" s="132"/>
      <c r="BA34" s="132"/>
      <c r="BB34" s="132"/>
      <c r="BC34" s="144"/>
      <c r="BD34" s="144"/>
      <c r="BE34" s="144"/>
      <c r="BF34" s="144"/>
      <c r="BG34" s="164"/>
      <c r="BH34" s="164"/>
      <c r="BI34" s="164"/>
      <c r="BJ34" s="245"/>
      <c r="BK34" s="245"/>
      <c r="BL34" s="245"/>
      <c r="BM34" s="245"/>
      <c r="BN34" s="245"/>
      <c r="BO34" s="245"/>
      <c r="BP34" s="262"/>
      <c r="BQ34" s="263"/>
      <c r="BR34" s="263"/>
      <c r="BS34" s="244"/>
      <c r="BT34" s="244"/>
      <c r="BU34" s="244"/>
      <c r="BV34" s="19"/>
      <c r="BW34" s="44"/>
      <c r="BX34" s="44"/>
      <c r="BY34" s="170"/>
      <c r="BZ34" s="170"/>
      <c r="CA34" s="170"/>
      <c r="CB34" s="170"/>
      <c r="CC34" s="170"/>
      <c r="CD34" s="170"/>
      <c r="CE34" s="170"/>
      <c r="CF34" s="170"/>
      <c r="CG34" s="170"/>
      <c r="CH34" s="170"/>
      <c r="CI34" s="170"/>
      <c r="CJ34" s="170"/>
      <c r="CK34" s="170"/>
      <c r="CL34" s="170"/>
      <c r="CM34" s="170"/>
      <c r="CN34" s="170"/>
      <c r="CO34" s="170"/>
      <c r="CP34" s="170"/>
      <c r="CQ34" s="226"/>
      <c r="CR34" s="227"/>
      <c r="CS34" s="227"/>
      <c r="CT34" s="227"/>
      <c r="CU34" s="143"/>
      <c r="CV34" s="143"/>
      <c r="CW34" s="143"/>
      <c r="CX34" s="143"/>
      <c r="CY34" s="242"/>
      <c r="CZ34" s="150"/>
      <c r="DA34" s="150"/>
      <c r="DB34" s="150"/>
      <c r="DC34" s="150"/>
      <c r="DD34" s="229"/>
      <c r="DE34" s="229"/>
      <c r="DF34" s="229"/>
      <c r="DG34" s="184"/>
      <c r="DH34" s="184"/>
      <c r="DI34" s="19"/>
      <c r="DJ34" s="151"/>
      <c r="DK34" s="151"/>
      <c r="DL34" s="151"/>
      <c r="DM34" s="151"/>
      <c r="DN34" s="143"/>
      <c r="DO34" s="143"/>
      <c r="DP34" s="143"/>
      <c r="DQ34" s="143"/>
      <c r="DR34" s="150"/>
      <c r="DS34" s="150"/>
      <c r="DT34" s="150"/>
      <c r="DU34" s="150"/>
      <c r="DV34" s="143"/>
      <c r="DW34" s="143"/>
      <c r="DX34" s="19"/>
      <c r="DY34" s="19" t="s">
        <v>173</v>
      </c>
      <c r="DZ34" s="19"/>
      <c r="EA34" s="19"/>
      <c r="EB34" s="151"/>
      <c r="EC34" s="151"/>
      <c r="ED34" s="151"/>
      <c r="EE34" s="151"/>
      <c r="EF34" s="143"/>
      <c r="EG34" s="143"/>
      <c r="EH34" s="143"/>
      <c r="EI34" s="143"/>
      <c r="EJ34" s="150"/>
      <c r="EK34" s="150"/>
      <c r="EL34" s="150"/>
      <c r="EM34" s="150"/>
      <c r="EN34" s="143"/>
      <c r="EO34" s="143"/>
      <c r="EP34" s="19"/>
      <c r="EQ34" s="43"/>
      <c r="ER34" s="19"/>
      <c r="ES34" s="200"/>
      <c r="ET34" s="200"/>
      <c r="EU34" s="200"/>
      <c r="EV34" s="200"/>
      <c r="EW34" s="200"/>
      <c r="EX34" s="18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64"/>
      <c r="FV34" s="201"/>
      <c r="FW34" s="201"/>
      <c r="FX34" s="201"/>
      <c r="FY34" s="201"/>
      <c r="FZ34" s="201"/>
      <c r="GA34" s="19"/>
      <c r="GB34" s="45"/>
    </row>
    <row r="35" spans="1:184" ht="7.5" customHeight="1" thickBot="1">
      <c r="A35" s="43"/>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44"/>
      <c r="BX35" s="44"/>
      <c r="BY35" s="19"/>
      <c r="BZ35" s="19"/>
      <c r="CA35" s="19"/>
      <c r="CB35" s="19"/>
      <c r="CC35" s="19"/>
      <c r="CD35" s="19"/>
      <c r="CE35" s="19"/>
      <c r="CF35" s="19"/>
      <c r="CG35" s="19"/>
      <c r="CH35" s="19"/>
      <c r="CI35" s="19"/>
      <c r="CJ35" s="19"/>
      <c r="CK35" s="19"/>
      <c r="CL35" s="19"/>
      <c r="CM35" s="19"/>
      <c r="CN35" s="19"/>
      <c r="CO35" s="19"/>
      <c r="CP35" s="19"/>
      <c r="CQ35" s="42"/>
      <c r="CR35" s="42"/>
      <c r="CS35" s="42"/>
      <c r="CT35" s="42"/>
      <c r="CU35" s="19"/>
      <c r="CV35" s="19"/>
      <c r="CW35" s="19"/>
      <c r="CX35" s="19"/>
      <c r="CY35" s="19"/>
      <c r="CZ35" s="42"/>
      <c r="DA35" s="42"/>
      <c r="DB35" s="42"/>
      <c r="DC35" s="42"/>
      <c r="DD35" s="19"/>
      <c r="DE35" s="19"/>
      <c r="DF35" s="19"/>
      <c r="DG35" s="43"/>
      <c r="DH35" s="43"/>
      <c r="DI35" s="19"/>
      <c r="DJ35" s="66"/>
      <c r="DK35" s="66"/>
      <c r="DL35" s="66"/>
      <c r="DM35" s="66"/>
      <c r="DN35" s="19"/>
      <c r="DO35" s="19"/>
      <c r="DP35" s="19"/>
      <c r="DQ35" s="19"/>
      <c r="DR35" s="42"/>
      <c r="DS35" s="42"/>
      <c r="DT35" s="42"/>
      <c r="DU35" s="42"/>
      <c r="DV35" s="19"/>
      <c r="DW35" s="19"/>
      <c r="DX35" s="19"/>
      <c r="DY35" s="19"/>
      <c r="DZ35" s="19"/>
      <c r="EA35" s="19"/>
      <c r="EB35" s="66"/>
      <c r="EC35" s="66"/>
      <c r="ED35" s="66"/>
      <c r="EE35" s="66"/>
      <c r="EF35" s="19"/>
      <c r="EG35" s="19"/>
      <c r="EH35" s="19"/>
      <c r="EI35" s="19"/>
      <c r="EJ35" s="42"/>
      <c r="EK35" s="42"/>
      <c r="EL35" s="42"/>
      <c r="EM35" s="42"/>
      <c r="EN35" s="19"/>
      <c r="EO35" s="19"/>
      <c r="EP35" s="19"/>
      <c r="EQ35" s="43"/>
      <c r="ER35" s="67"/>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19"/>
      <c r="GB35" s="45"/>
    </row>
    <row r="36" spans="1:184" ht="7.5" customHeight="1">
      <c r="A36" s="43"/>
      <c r="B36" s="132" t="s">
        <v>86</v>
      </c>
      <c r="C36" s="132"/>
      <c r="D36" s="132"/>
      <c r="E36" s="132"/>
      <c r="F36" s="132"/>
      <c r="G36" s="132"/>
      <c r="H36" s="132"/>
      <c r="I36" s="132"/>
      <c r="J36" s="132"/>
      <c r="K36" s="132"/>
      <c r="L36" s="132"/>
      <c r="M36" s="132"/>
      <c r="N36" s="132"/>
      <c r="O36" s="132"/>
      <c r="P36" s="250">
        <f>IF(AND(ISNUMBER(P33),ISNUMBER(AA33)),((AA33/(P33-1)/1000)),"")</f>
        <v>1.0232786885245913</v>
      </c>
      <c r="Q36" s="250"/>
      <c r="R36" s="250"/>
      <c r="S36" s="250"/>
      <c r="T36" s="19"/>
      <c r="U36" s="164" t="s">
        <v>321</v>
      </c>
      <c r="V36" s="164"/>
      <c r="W36" s="164"/>
      <c r="X36" s="164"/>
      <c r="Y36" s="164"/>
      <c r="Z36" s="164"/>
      <c r="AA36" s="164"/>
      <c r="AB36" s="164"/>
      <c r="AC36" s="151">
        <f>IF(ISNUMBER(AZ79),AZ79,"")</f>
      </c>
      <c r="AD36" s="151"/>
      <c r="AE36" s="151"/>
      <c r="AF36" s="209" t="s">
        <v>142</v>
      </c>
      <c r="AG36" s="209"/>
      <c r="AH36" s="286">
        <f>IF(ISNUMBER(P33),(P33-1)*(1-B179/100)+1,"")</f>
        <v>1.01525</v>
      </c>
      <c r="AI36" s="286"/>
      <c r="AJ36" s="286"/>
      <c r="AK36" s="286"/>
      <c r="AL36" s="19"/>
      <c r="AM36" s="170" t="s">
        <v>90</v>
      </c>
      <c r="AN36" s="170"/>
      <c r="AO36" s="170"/>
      <c r="AP36" s="170"/>
      <c r="AQ36" s="170"/>
      <c r="AR36" s="170"/>
      <c r="AS36" s="170"/>
      <c r="AT36" s="170"/>
      <c r="AU36" s="170"/>
      <c r="AV36" s="170"/>
      <c r="AW36" s="170"/>
      <c r="AX36" s="170"/>
      <c r="AY36" s="170"/>
      <c r="AZ36" s="170"/>
      <c r="BA36" s="170"/>
      <c r="BB36" s="170"/>
      <c r="BC36" s="170"/>
      <c r="BD36" s="170"/>
      <c r="BE36" s="170"/>
      <c r="BF36" s="170"/>
      <c r="BG36" s="170"/>
      <c r="BH36" s="256">
        <v>10</v>
      </c>
      <c r="BI36" s="257"/>
      <c r="BJ36" s="257"/>
      <c r="BK36" s="257"/>
      <c r="BL36" s="164" t="s">
        <v>5</v>
      </c>
      <c r="BM36" s="164"/>
      <c r="BN36" s="179" t="s">
        <v>1</v>
      </c>
      <c r="BO36" s="132"/>
      <c r="BP36" s="144">
        <f>IF(ISNUMBER(BH36),BH36*0.2641720523582,"")</f>
        <v>2.6417205235820003</v>
      </c>
      <c r="BQ36" s="144"/>
      <c r="BR36" s="144"/>
      <c r="BS36" s="144"/>
      <c r="BT36" s="164" t="s">
        <v>7</v>
      </c>
      <c r="BU36" s="164"/>
      <c r="BV36" s="164"/>
      <c r="BW36" s="44"/>
      <c r="BX36" s="44"/>
      <c r="BY36" s="170" t="s">
        <v>327</v>
      </c>
      <c r="BZ36" s="170"/>
      <c r="CA36" s="170"/>
      <c r="CB36" s="170"/>
      <c r="CC36" s="170"/>
      <c r="CD36" s="170"/>
      <c r="CE36" s="170"/>
      <c r="CF36" s="170"/>
      <c r="CG36" s="170"/>
      <c r="CH36" s="170"/>
      <c r="CI36" s="170"/>
      <c r="CJ36" s="170"/>
      <c r="CK36" s="170"/>
      <c r="CL36" s="170"/>
      <c r="CM36" s="170"/>
      <c r="CN36" s="170"/>
      <c r="CO36" s="170"/>
      <c r="CP36" s="170"/>
      <c r="CQ36" s="224">
        <f>IF(AND(ISNUMBER(CQ39),ISNUMBER(CQ42)),CQ42+CQ39-EA76/0.9614,"")</f>
        <v>14.769806597022061</v>
      </c>
      <c r="CR36" s="225"/>
      <c r="CS36" s="225"/>
      <c r="CT36" s="225"/>
      <c r="CU36" s="143" t="s">
        <v>6</v>
      </c>
      <c r="CV36" s="143"/>
      <c r="CW36" s="143"/>
      <c r="CX36" s="143"/>
      <c r="CY36" s="152" t="s">
        <v>1</v>
      </c>
      <c r="CZ36" s="150">
        <f>IF(ISNUMBER(CQ36),CQ36*0.2641720523582,"")</f>
        <v>3.9017701216689997</v>
      </c>
      <c r="DA36" s="150"/>
      <c r="DB36" s="150"/>
      <c r="DC36" s="150"/>
      <c r="DD36" s="229" t="s">
        <v>7</v>
      </c>
      <c r="DE36" s="229"/>
      <c r="DF36" s="229"/>
      <c r="DG36" s="184" t="s">
        <v>173</v>
      </c>
      <c r="DH36" s="184"/>
      <c r="DI36" s="19"/>
      <c r="DJ36" s="151">
        <f>IF(AND(ISNUMBER(CQ36),$AV$27&gt;0),(CQ36-$EB$107)*1000/(PI()*(($AV$27/2)^2))+$EB$110,"")</f>
        <v>23.986609473748437</v>
      </c>
      <c r="DK36" s="151"/>
      <c r="DL36" s="151"/>
      <c r="DM36" s="151"/>
      <c r="DN36" s="143" t="s">
        <v>74</v>
      </c>
      <c r="DO36" s="143"/>
      <c r="DP36" s="143"/>
      <c r="DQ36" s="143"/>
      <c r="DR36" s="150">
        <f>IF(ISNUMBER(DJ36),DJ36/2.54,"")</f>
        <v>9.443547036908834</v>
      </c>
      <c r="DS36" s="150"/>
      <c r="DT36" s="150"/>
      <c r="DU36" s="150"/>
      <c r="DV36" s="143" t="s">
        <v>25</v>
      </c>
      <c r="DW36" s="143"/>
      <c r="DX36" s="19"/>
      <c r="DY36" s="19"/>
      <c r="DZ36" s="19"/>
      <c r="EA36" s="19"/>
      <c r="EB36" s="151">
        <f>IF(AND(ISNUMBER(DJ36),$AV$30&gt;0),$AV$30-DJ36,"")</f>
        <v>7.013390526251563</v>
      </c>
      <c r="EC36" s="151"/>
      <c r="ED36" s="151"/>
      <c r="EE36" s="151"/>
      <c r="EF36" s="143" t="s">
        <v>74</v>
      </c>
      <c r="EG36" s="143"/>
      <c r="EH36" s="143"/>
      <c r="EI36" s="143"/>
      <c r="EJ36" s="150">
        <f>IF(ISNUMBER(EB36),EB36/2.54,"")</f>
        <v>2.761177372539985</v>
      </c>
      <c r="EK36" s="150"/>
      <c r="EL36" s="150"/>
      <c r="EM36" s="150"/>
      <c r="EN36" s="143" t="s">
        <v>25</v>
      </c>
      <c r="EO36" s="143"/>
      <c r="EP36" s="19"/>
      <c r="EQ36" s="43"/>
      <c r="ER36" s="19"/>
      <c r="ES36" s="200"/>
      <c r="ET36" s="200"/>
      <c r="EU36" s="200"/>
      <c r="EV36" s="200"/>
      <c r="EW36" s="200"/>
      <c r="EX36" s="18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64"/>
      <c r="FV36" s="201"/>
      <c r="FW36" s="201"/>
      <c r="FX36" s="201"/>
      <c r="FY36" s="201"/>
      <c r="FZ36" s="201"/>
      <c r="GA36" s="19"/>
      <c r="GB36" s="45"/>
    </row>
    <row r="37" spans="1:184" ht="7.5" customHeight="1">
      <c r="A37" s="43"/>
      <c r="B37" s="132"/>
      <c r="C37" s="132"/>
      <c r="D37" s="132"/>
      <c r="E37" s="132"/>
      <c r="F37" s="132"/>
      <c r="G37" s="132"/>
      <c r="H37" s="132"/>
      <c r="I37" s="132"/>
      <c r="J37" s="132"/>
      <c r="K37" s="132"/>
      <c r="L37" s="132"/>
      <c r="M37" s="132"/>
      <c r="N37" s="132"/>
      <c r="O37" s="132"/>
      <c r="P37" s="250"/>
      <c r="Q37" s="250"/>
      <c r="R37" s="250"/>
      <c r="S37" s="250"/>
      <c r="T37" s="19"/>
      <c r="U37" s="164"/>
      <c r="V37" s="164"/>
      <c r="W37" s="164"/>
      <c r="X37" s="164"/>
      <c r="Y37" s="164"/>
      <c r="Z37" s="164"/>
      <c r="AA37" s="164"/>
      <c r="AB37" s="164"/>
      <c r="AC37" s="151"/>
      <c r="AD37" s="151"/>
      <c r="AE37" s="151"/>
      <c r="AF37" s="209"/>
      <c r="AG37" s="209"/>
      <c r="AH37" s="286"/>
      <c r="AI37" s="286"/>
      <c r="AJ37" s="286"/>
      <c r="AK37" s="286"/>
      <c r="AL37" s="19"/>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258"/>
      <c r="BI37" s="259"/>
      <c r="BJ37" s="259"/>
      <c r="BK37" s="259"/>
      <c r="BL37" s="164"/>
      <c r="BM37" s="164"/>
      <c r="BN37" s="132"/>
      <c r="BO37" s="132"/>
      <c r="BP37" s="144"/>
      <c r="BQ37" s="144"/>
      <c r="BR37" s="144"/>
      <c r="BS37" s="144"/>
      <c r="BT37" s="164"/>
      <c r="BU37" s="164"/>
      <c r="BV37" s="164"/>
      <c r="BW37" s="44"/>
      <c r="BX37" s="44"/>
      <c r="BY37" s="170"/>
      <c r="BZ37" s="170"/>
      <c r="CA37" s="170"/>
      <c r="CB37" s="170"/>
      <c r="CC37" s="170"/>
      <c r="CD37" s="170"/>
      <c r="CE37" s="170"/>
      <c r="CF37" s="170"/>
      <c r="CG37" s="170"/>
      <c r="CH37" s="170"/>
      <c r="CI37" s="170"/>
      <c r="CJ37" s="170"/>
      <c r="CK37" s="170"/>
      <c r="CL37" s="170"/>
      <c r="CM37" s="170"/>
      <c r="CN37" s="170"/>
      <c r="CO37" s="170"/>
      <c r="CP37" s="170"/>
      <c r="CQ37" s="226"/>
      <c r="CR37" s="227"/>
      <c r="CS37" s="227"/>
      <c r="CT37" s="227"/>
      <c r="CU37" s="143"/>
      <c r="CV37" s="143"/>
      <c r="CW37" s="143"/>
      <c r="CX37" s="143"/>
      <c r="CY37" s="242"/>
      <c r="CZ37" s="150"/>
      <c r="DA37" s="150"/>
      <c r="DB37" s="150"/>
      <c r="DC37" s="150"/>
      <c r="DD37" s="229"/>
      <c r="DE37" s="229"/>
      <c r="DF37" s="229"/>
      <c r="DG37" s="184"/>
      <c r="DH37" s="184"/>
      <c r="DI37" s="19"/>
      <c r="DJ37" s="151"/>
      <c r="DK37" s="151"/>
      <c r="DL37" s="151"/>
      <c r="DM37" s="151"/>
      <c r="DN37" s="143"/>
      <c r="DO37" s="143"/>
      <c r="DP37" s="143"/>
      <c r="DQ37" s="143"/>
      <c r="DR37" s="150"/>
      <c r="DS37" s="150"/>
      <c r="DT37" s="150"/>
      <c r="DU37" s="150"/>
      <c r="DV37" s="143"/>
      <c r="DW37" s="143"/>
      <c r="DX37" s="19"/>
      <c r="DY37" s="19" t="s">
        <v>173</v>
      </c>
      <c r="DZ37" s="19"/>
      <c r="EA37" s="19"/>
      <c r="EB37" s="151"/>
      <c r="EC37" s="151"/>
      <c r="ED37" s="151"/>
      <c r="EE37" s="151"/>
      <c r="EF37" s="143"/>
      <c r="EG37" s="143"/>
      <c r="EH37" s="143"/>
      <c r="EI37" s="143"/>
      <c r="EJ37" s="150"/>
      <c r="EK37" s="150"/>
      <c r="EL37" s="150"/>
      <c r="EM37" s="150"/>
      <c r="EN37" s="143"/>
      <c r="EO37" s="143"/>
      <c r="EP37" s="19"/>
      <c r="EQ37" s="43"/>
      <c r="ER37" s="19"/>
      <c r="ES37" s="200"/>
      <c r="ET37" s="200"/>
      <c r="EU37" s="200"/>
      <c r="EV37" s="200"/>
      <c r="EW37" s="200"/>
      <c r="EX37" s="18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64"/>
      <c r="FV37" s="201"/>
      <c r="FW37" s="201"/>
      <c r="FX37" s="201"/>
      <c r="FY37" s="201"/>
      <c r="FZ37" s="201"/>
      <c r="GA37" s="19"/>
      <c r="GB37" s="45"/>
    </row>
    <row r="38" spans="1:184" ht="7.5" customHeight="1" thickBot="1">
      <c r="A38" s="43"/>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44"/>
      <c r="BX38" s="44"/>
      <c r="BY38" s="19"/>
      <c r="BZ38" s="19"/>
      <c r="CA38" s="19"/>
      <c r="CB38" s="19"/>
      <c r="CC38" s="19"/>
      <c r="CD38" s="19"/>
      <c r="CE38" s="19"/>
      <c r="CF38" s="19"/>
      <c r="CG38" s="19"/>
      <c r="CH38" s="19"/>
      <c r="CI38" s="19"/>
      <c r="CJ38" s="19"/>
      <c r="CK38" s="19"/>
      <c r="CL38" s="19"/>
      <c r="CM38" s="19"/>
      <c r="CN38" s="19"/>
      <c r="CO38" s="19"/>
      <c r="CP38" s="19"/>
      <c r="CQ38" s="42"/>
      <c r="CR38" s="42"/>
      <c r="CS38" s="42"/>
      <c r="CT38" s="42"/>
      <c r="CU38" s="19"/>
      <c r="CV38" s="19"/>
      <c r="CW38" s="19"/>
      <c r="CX38" s="19"/>
      <c r="CY38" s="19"/>
      <c r="CZ38" s="42"/>
      <c r="DA38" s="42"/>
      <c r="DB38" s="42"/>
      <c r="DC38" s="42"/>
      <c r="DD38" s="19"/>
      <c r="DE38" s="19"/>
      <c r="DF38" s="19"/>
      <c r="DG38" s="43"/>
      <c r="DH38" s="43"/>
      <c r="DI38" s="19"/>
      <c r="DJ38" s="66"/>
      <c r="DK38" s="66"/>
      <c r="DL38" s="66"/>
      <c r="DM38" s="66"/>
      <c r="DN38" s="19"/>
      <c r="DO38" s="19"/>
      <c r="DP38" s="19"/>
      <c r="DQ38" s="19"/>
      <c r="DR38" s="42"/>
      <c r="DS38" s="42"/>
      <c r="DT38" s="42"/>
      <c r="DU38" s="42"/>
      <c r="DV38" s="19"/>
      <c r="DW38" s="19"/>
      <c r="DX38" s="19"/>
      <c r="DY38" s="19"/>
      <c r="DZ38" s="19"/>
      <c r="EA38" s="19"/>
      <c r="EB38" s="66"/>
      <c r="EC38" s="66"/>
      <c r="ED38" s="66"/>
      <c r="EE38" s="66"/>
      <c r="EF38" s="19"/>
      <c r="EG38" s="19"/>
      <c r="EH38" s="19"/>
      <c r="EI38" s="19"/>
      <c r="EJ38" s="42"/>
      <c r="EK38" s="42"/>
      <c r="EL38" s="42"/>
      <c r="EM38" s="42"/>
      <c r="EN38" s="19"/>
      <c r="EO38" s="19"/>
      <c r="EP38" s="19"/>
      <c r="EQ38" s="43"/>
      <c r="ER38" s="67"/>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19"/>
      <c r="GB38" s="45"/>
    </row>
    <row r="39" spans="1:184" ht="7.5" customHeight="1">
      <c r="A39" s="43"/>
      <c r="B39" s="165" t="s">
        <v>232</v>
      </c>
      <c r="C39" s="165"/>
      <c r="D39" s="165"/>
      <c r="E39" s="165"/>
      <c r="F39" s="165"/>
      <c r="G39" s="165"/>
      <c r="H39" s="165"/>
      <c r="I39" s="165"/>
      <c r="J39" s="165"/>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9"/>
      <c r="AM39" s="165" t="s">
        <v>231</v>
      </c>
      <c r="AN39" s="165"/>
      <c r="AO39" s="165"/>
      <c r="AP39" s="165"/>
      <c r="AQ39" s="165"/>
      <c r="AR39" s="165"/>
      <c r="AS39" s="165"/>
      <c r="AT39" s="165"/>
      <c r="AU39" s="165"/>
      <c r="AV39" s="175" t="s">
        <v>397</v>
      </c>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68"/>
      <c r="BW39" s="44"/>
      <c r="BX39" s="44"/>
      <c r="BY39" s="165" t="s">
        <v>52</v>
      </c>
      <c r="BZ39" s="165"/>
      <c r="CA39" s="165"/>
      <c r="CB39" s="165"/>
      <c r="CC39" s="165"/>
      <c r="CD39" s="165"/>
      <c r="CE39" s="165"/>
      <c r="CF39" s="165"/>
      <c r="CG39" s="165"/>
      <c r="CH39" s="165"/>
      <c r="CI39" s="165"/>
      <c r="CJ39" s="165"/>
      <c r="CK39" s="165"/>
      <c r="CL39" s="165"/>
      <c r="CM39" s="165"/>
      <c r="CN39" s="165"/>
      <c r="CO39" s="165"/>
      <c r="CP39" s="165"/>
      <c r="CQ39" s="144">
        <f>IF(ISNUMBER(DY92),DY92/60*BP33,IF(AND(ISNUMBER(AV27),ISNUMBER(BP33)),(PI()*(AV27/2)*(AV27/2)*0.00428/60*BP33),""))</f>
        <v>2.6354192452434053</v>
      </c>
      <c r="CR39" s="144"/>
      <c r="CS39" s="144"/>
      <c r="CT39" s="144"/>
      <c r="CU39" s="132" t="s">
        <v>6</v>
      </c>
      <c r="CV39" s="132"/>
      <c r="CW39" s="132"/>
      <c r="CX39" s="132"/>
      <c r="CY39" s="179" t="s">
        <v>1</v>
      </c>
      <c r="CZ39" s="223">
        <f>IF(ISNUMBER(CQ39),CQ39*0.2641720523582,"")</f>
        <v>0.6962041108402488</v>
      </c>
      <c r="DA39" s="223"/>
      <c r="DB39" s="223"/>
      <c r="DC39" s="223"/>
      <c r="DD39" s="164" t="s">
        <v>7</v>
      </c>
      <c r="DE39" s="164"/>
      <c r="DF39" s="164"/>
      <c r="DG39" s="184" t="s">
        <v>173</v>
      </c>
      <c r="DH39" s="184"/>
      <c r="DI39" s="19"/>
      <c r="DJ39" s="194">
        <f>IF(AND(ISNUMBER(DJ36),ISNUMBER(DJ42)),DJ36-DJ42,"")</f>
        <v>4.280000000000001</v>
      </c>
      <c r="DK39" s="194"/>
      <c r="DL39" s="194"/>
      <c r="DM39" s="194"/>
      <c r="DN39" s="132" t="s">
        <v>74</v>
      </c>
      <c r="DO39" s="132"/>
      <c r="DP39" s="132"/>
      <c r="DQ39" s="132"/>
      <c r="DR39" s="223">
        <f>IF(ISNUMBER(DJ39),DJ39/2.54,"")</f>
        <v>1.6850393700787405</v>
      </c>
      <c r="DS39" s="223"/>
      <c r="DT39" s="223"/>
      <c r="DU39" s="223"/>
      <c r="DV39" s="132" t="s">
        <v>25</v>
      </c>
      <c r="DW39" s="132"/>
      <c r="DX39" s="19"/>
      <c r="DY39" s="19"/>
      <c r="DZ39" s="19"/>
      <c r="EA39" s="19"/>
      <c r="EB39" s="194">
        <f>IF(AND(ISNUMBER(EB36),ISNUMBER(EB42)),EB36-EB42,"")</f>
        <v>-4.280000000000001</v>
      </c>
      <c r="EC39" s="194"/>
      <c r="ED39" s="194"/>
      <c r="EE39" s="194"/>
      <c r="EF39" s="132" t="s">
        <v>74</v>
      </c>
      <c r="EG39" s="132"/>
      <c r="EH39" s="132"/>
      <c r="EI39" s="132"/>
      <c r="EJ39" s="223">
        <f>IF(ISNUMBER(EB39),EB39/2.54,"")</f>
        <v>-1.6850393700787405</v>
      </c>
      <c r="EK39" s="223"/>
      <c r="EL39" s="223"/>
      <c r="EM39" s="223"/>
      <c r="EN39" s="132" t="s">
        <v>25</v>
      </c>
      <c r="EO39" s="132"/>
      <c r="EP39" s="19"/>
      <c r="EQ39" s="43"/>
      <c r="ER39" s="19"/>
      <c r="ES39" s="200"/>
      <c r="ET39" s="200"/>
      <c r="EU39" s="200"/>
      <c r="EV39" s="200"/>
      <c r="EW39" s="200"/>
      <c r="EX39" s="18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64"/>
      <c r="FV39" s="201"/>
      <c r="FW39" s="201"/>
      <c r="FX39" s="201"/>
      <c r="FY39" s="201"/>
      <c r="FZ39" s="201"/>
      <c r="GA39" s="19"/>
      <c r="GB39" s="45"/>
    </row>
    <row r="40" spans="1:184" ht="7.5" customHeight="1">
      <c r="A40" s="43"/>
      <c r="B40" s="165"/>
      <c r="C40" s="165"/>
      <c r="D40" s="165"/>
      <c r="E40" s="165"/>
      <c r="F40" s="165"/>
      <c r="G40" s="165"/>
      <c r="H40" s="165"/>
      <c r="I40" s="165"/>
      <c r="J40" s="16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60"/>
      <c r="AM40" s="165"/>
      <c r="AN40" s="165"/>
      <c r="AO40" s="165"/>
      <c r="AP40" s="165"/>
      <c r="AQ40" s="165"/>
      <c r="AR40" s="165"/>
      <c r="AS40" s="165"/>
      <c r="AT40" s="165"/>
      <c r="AU40" s="165"/>
      <c r="AV40" s="177"/>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68"/>
      <c r="BW40" s="44"/>
      <c r="BX40" s="44"/>
      <c r="BY40" s="165"/>
      <c r="BZ40" s="165"/>
      <c r="CA40" s="165"/>
      <c r="CB40" s="165"/>
      <c r="CC40" s="165"/>
      <c r="CD40" s="165"/>
      <c r="CE40" s="165"/>
      <c r="CF40" s="165"/>
      <c r="CG40" s="165"/>
      <c r="CH40" s="165"/>
      <c r="CI40" s="165"/>
      <c r="CJ40" s="165"/>
      <c r="CK40" s="165"/>
      <c r="CL40" s="165"/>
      <c r="CM40" s="165"/>
      <c r="CN40" s="165"/>
      <c r="CO40" s="165"/>
      <c r="CP40" s="165"/>
      <c r="CQ40" s="144"/>
      <c r="CR40" s="144"/>
      <c r="CS40" s="144"/>
      <c r="CT40" s="144"/>
      <c r="CU40" s="132"/>
      <c r="CV40" s="132"/>
      <c r="CW40" s="132"/>
      <c r="CX40" s="132"/>
      <c r="CY40" s="212"/>
      <c r="CZ40" s="223"/>
      <c r="DA40" s="223"/>
      <c r="DB40" s="223"/>
      <c r="DC40" s="223"/>
      <c r="DD40" s="164"/>
      <c r="DE40" s="164"/>
      <c r="DF40" s="164"/>
      <c r="DG40" s="184"/>
      <c r="DH40" s="184"/>
      <c r="DI40" s="19"/>
      <c r="DJ40" s="194"/>
      <c r="DK40" s="194"/>
      <c r="DL40" s="194"/>
      <c r="DM40" s="194"/>
      <c r="DN40" s="132"/>
      <c r="DO40" s="132"/>
      <c r="DP40" s="132"/>
      <c r="DQ40" s="132"/>
      <c r="DR40" s="223"/>
      <c r="DS40" s="223"/>
      <c r="DT40" s="223"/>
      <c r="DU40" s="223"/>
      <c r="DV40" s="132"/>
      <c r="DW40" s="132"/>
      <c r="DX40" s="19"/>
      <c r="DY40" s="19" t="s">
        <v>173</v>
      </c>
      <c r="DZ40" s="19"/>
      <c r="EA40" s="19"/>
      <c r="EB40" s="194"/>
      <c r="EC40" s="194"/>
      <c r="ED40" s="194"/>
      <c r="EE40" s="194"/>
      <c r="EF40" s="132"/>
      <c r="EG40" s="132"/>
      <c r="EH40" s="132"/>
      <c r="EI40" s="132"/>
      <c r="EJ40" s="223"/>
      <c r="EK40" s="223"/>
      <c r="EL40" s="223"/>
      <c r="EM40" s="223"/>
      <c r="EN40" s="132"/>
      <c r="EO40" s="132"/>
      <c r="EP40" s="19"/>
      <c r="EQ40" s="43"/>
      <c r="ER40" s="19"/>
      <c r="ES40" s="200"/>
      <c r="ET40" s="200"/>
      <c r="EU40" s="200"/>
      <c r="EV40" s="200"/>
      <c r="EW40" s="200"/>
      <c r="EX40" s="180"/>
      <c r="EY40" s="200"/>
      <c r="EZ40" s="200"/>
      <c r="FA40" s="200"/>
      <c r="FB40" s="200"/>
      <c r="FC40" s="200"/>
      <c r="FD40" s="200"/>
      <c r="FE40" s="200"/>
      <c r="FF40" s="200"/>
      <c r="FG40" s="200"/>
      <c r="FH40" s="200"/>
      <c r="FI40" s="200"/>
      <c r="FJ40" s="200"/>
      <c r="FK40" s="200"/>
      <c r="FL40" s="200"/>
      <c r="FM40" s="200"/>
      <c r="FN40" s="200"/>
      <c r="FO40" s="200"/>
      <c r="FP40" s="200"/>
      <c r="FQ40" s="200"/>
      <c r="FR40" s="200"/>
      <c r="FS40" s="200"/>
      <c r="FT40" s="200"/>
      <c r="FU40" s="64"/>
      <c r="FV40" s="201"/>
      <c r="FW40" s="201"/>
      <c r="FX40" s="201"/>
      <c r="FY40" s="201"/>
      <c r="FZ40" s="201"/>
      <c r="GA40" s="19"/>
      <c r="GB40" s="45"/>
    </row>
    <row r="41" spans="1:184" ht="7.5" customHeight="1">
      <c r="A41" s="43"/>
      <c r="B41" s="295">
        <f>IF(OR(DY89&gt;0,DY92,DR98&gt;0,DR101&gt;0,EB104&gt;0,EB107&gt;0,EB110&gt;0,EK89&gt;0,EK95&gt;0,EB98&gt;0,EB101&gt;0),"BIABacus Default Adjustments have been made - See Sect X.","")</f>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60"/>
      <c r="AM41" s="248">
        <f>IF(OR(K155="Y",ISNUMBER(AF155),Y176="Y",AJ176="Y"),"Advanced trub management has been used - See G and/or H.","")</f>
      </c>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44"/>
      <c r="BX41" s="44"/>
      <c r="BY41" s="19"/>
      <c r="BZ41" s="19"/>
      <c r="CA41" s="19"/>
      <c r="CB41" s="19"/>
      <c r="CC41" s="19"/>
      <c r="CD41" s="19"/>
      <c r="CE41" s="19"/>
      <c r="CF41" s="19"/>
      <c r="CG41" s="19"/>
      <c r="CH41" s="19"/>
      <c r="CI41" s="19"/>
      <c r="CJ41" s="19"/>
      <c r="CK41" s="19"/>
      <c r="CL41" s="19"/>
      <c r="CM41" s="19"/>
      <c r="CN41" s="19"/>
      <c r="CO41" s="19"/>
      <c r="CP41" s="19"/>
      <c r="CQ41" s="42"/>
      <c r="CR41" s="42"/>
      <c r="CS41" s="42"/>
      <c r="CT41" s="42"/>
      <c r="CU41" s="19"/>
      <c r="CV41" s="19"/>
      <c r="CW41" s="19"/>
      <c r="CX41" s="19"/>
      <c r="CY41" s="19"/>
      <c r="CZ41" s="42"/>
      <c r="DA41" s="42"/>
      <c r="DB41" s="42"/>
      <c r="DC41" s="42"/>
      <c r="DD41" s="19"/>
      <c r="DE41" s="19"/>
      <c r="DF41" s="19"/>
      <c r="DG41" s="43"/>
      <c r="DH41" s="43"/>
      <c r="DI41" s="19"/>
      <c r="DJ41" s="66"/>
      <c r="DK41" s="66"/>
      <c r="DL41" s="66"/>
      <c r="DM41" s="66"/>
      <c r="DN41" s="19"/>
      <c r="DO41" s="19"/>
      <c r="DP41" s="19"/>
      <c r="DQ41" s="19"/>
      <c r="DR41" s="42"/>
      <c r="DS41" s="42"/>
      <c r="DT41" s="42"/>
      <c r="DU41" s="42"/>
      <c r="DV41" s="19"/>
      <c r="DW41" s="19"/>
      <c r="DX41" s="19"/>
      <c r="DY41" s="19"/>
      <c r="DZ41" s="19"/>
      <c r="EA41" s="19"/>
      <c r="EB41" s="66"/>
      <c r="EC41" s="66"/>
      <c r="ED41" s="66"/>
      <c r="EE41" s="66"/>
      <c r="EF41" s="19"/>
      <c r="EG41" s="19"/>
      <c r="EH41" s="19"/>
      <c r="EI41" s="19"/>
      <c r="EJ41" s="42"/>
      <c r="EK41" s="42"/>
      <c r="EL41" s="42"/>
      <c r="EM41" s="42"/>
      <c r="EN41" s="19"/>
      <c r="EO41" s="19"/>
      <c r="EP41" s="19"/>
      <c r="EQ41" s="43"/>
      <c r="ER41" s="67"/>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19"/>
      <c r="GB41" s="45"/>
    </row>
    <row r="42" spans="1:184" ht="7.5" customHeight="1">
      <c r="A42" s="43"/>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19"/>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44"/>
      <c r="BX42" s="44"/>
      <c r="BY42" s="165" t="s">
        <v>333</v>
      </c>
      <c r="BZ42" s="165"/>
      <c r="CA42" s="165"/>
      <c r="CB42" s="165"/>
      <c r="CC42" s="165"/>
      <c r="CD42" s="165"/>
      <c r="CE42" s="165"/>
      <c r="CF42" s="165"/>
      <c r="CG42" s="165"/>
      <c r="CH42" s="165"/>
      <c r="CI42" s="165"/>
      <c r="CJ42" s="165"/>
      <c r="CK42" s="165"/>
      <c r="CL42" s="165"/>
      <c r="CM42" s="165"/>
      <c r="CN42" s="165"/>
      <c r="CO42" s="165"/>
      <c r="CP42" s="165"/>
      <c r="CQ42" s="144">
        <f>IF(ISNUMBER(CQ45),CQ45/0.9614,"")</f>
        <v>12.134387351778656</v>
      </c>
      <c r="CR42" s="144"/>
      <c r="CS42" s="144"/>
      <c r="CT42" s="144"/>
      <c r="CU42" s="132" t="s">
        <v>6</v>
      </c>
      <c r="CV42" s="132"/>
      <c r="CW42" s="132"/>
      <c r="CX42" s="132"/>
      <c r="CY42" s="179" t="s">
        <v>1</v>
      </c>
      <c r="CZ42" s="223">
        <f>IF(ISNUMBER(CQ42),CQ42*0.2641720523582,"")</f>
        <v>3.2055660108287514</v>
      </c>
      <c r="DA42" s="223"/>
      <c r="DB42" s="223"/>
      <c r="DC42" s="223"/>
      <c r="DD42" s="164" t="s">
        <v>7</v>
      </c>
      <c r="DE42" s="164"/>
      <c r="DF42" s="164"/>
      <c r="DG42" s="184" t="s">
        <v>173</v>
      </c>
      <c r="DH42" s="184"/>
      <c r="DI42" s="19"/>
      <c r="DJ42" s="194">
        <f>IF(AND(ISNUMBER(CQ42),$AV$27&gt;0),(CQ42-$EB$107)*1000/(PI()*(($AV$27/2)^2))+$EB$110,"")</f>
        <v>19.706609473748436</v>
      </c>
      <c r="DK42" s="194"/>
      <c r="DL42" s="194"/>
      <c r="DM42" s="194"/>
      <c r="DN42" s="132" t="s">
        <v>74</v>
      </c>
      <c r="DO42" s="132"/>
      <c r="DP42" s="132"/>
      <c r="DQ42" s="132"/>
      <c r="DR42" s="223">
        <f>IF(ISNUMBER(DJ42),DJ42/2.54,"")</f>
        <v>7.758507666830093</v>
      </c>
      <c r="DS42" s="223"/>
      <c r="DT42" s="223"/>
      <c r="DU42" s="223"/>
      <c r="DV42" s="132" t="s">
        <v>25</v>
      </c>
      <c r="DW42" s="132"/>
      <c r="DX42" s="19"/>
      <c r="DY42" s="19"/>
      <c r="DZ42" s="19"/>
      <c r="EA42" s="19"/>
      <c r="EB42" s="194">
        <f>IF(AND(ISNUMBER(DJ42),$AV$30&gt;0),$AV$30-DJ42,"")</f>
        <v>11.293390526251564</v>
      </c>
      <c r="EC42" s="194"/>
      <c r="ED42" s="194"/>
      <c r="EE42" s="194"/>
      <c r="EF42" s="132" t="s">
        <v>74</v>
      </c>
      <c r="EG42" s="132"/>
      <c r="EH42" s="132"/>
      <c r="EI42" s="132"/>
      <c r="EJ42" s="223">
        <f>IF(ISNUMBER(EB42),EB42/2.54,"")</f>
        <v>4.446216742618726</v>
      </c>
      <c r="EK42" s="223"/>
      <c r="EL42" s="223"/>
      <c r="EM42" s="223"/>
      <c r="EN42" s="132" t="s">
        <v>25</v>
      </c>
      <c r="EO42" s="132"/>
      <c r="EP42" s="19"/>
      <c r="EQ42" s="43"/>
      <c r="ER42" s="19"/>
      <c r="ES42" s="200"/>
      <c r="ET42" s="200"/>
      <c r="EU42" s="200"/>
      <c r="EV42" s="200"/>
      <c r="EW42" s="200"/>
      <c r="EX42" s="180"/>
      <c r="EY42" s="157"/>
      <c r="EZ42" s="157"/>
      <c r="FA42" s="157"/>
      <c r="FB42" s="157"/>
      <c r="FC42" s="157"/>
      <c r="FD42" s="157"/>
      <c r="FE42" s="157"/>
      <c r="FF42" s="157"/>
      <c r="FG42" s="157"/>
      <c r="FH42" s="157"/>
      <c r="FI42" s="157"/>
      <c r="FJ42" s="157"/>
      <c r="FK42" s="157"/>
      <c r="FL42" s="157"/>
      <c r="FM42" s="157"/>
      <c r="FN42" s="157"/>
      <c r="FO42" s="157"/>
      <c r="FP42" s="157"/>
      <c r="FQ42" s="157"/>
      <c r="FR42" s="157"/>
      <c r="FS42" s="157"/>
      <c r="FT42" s="157"/>
      <c r="FU42" s="64"/>
      <c r="FV42" s="201"/>
      <c r="FW42" s="201"/>
      <c r="FX42" s="201"/>
      <c r="FY42" s="201"/>
      <c r="FZ42" s="201"/>
      <c r="GA42" s="19"/>
      <c r="GB42" s="45"/>
    </row>
    <row r="43" spans="1:184" ht="7.5" customHeight="1">
      <c r="A43" s="43"/>
      <c r="B43" s="158" t="s">
        <v>373</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5" t="s">
        <v>91</v>
      </c>
      <c r="BV43" s="156"/>
      <c r="BW43" s="44"/>
      <c r="BX43" s="44"/>
      <c r="BY43" s="165"/>
      <c r="BZ43" s="165"/>
      <c r="CA43" s="165"/>
      <c r="CB43" s="165"/>
      <c r="CC43" s="165"/>
      <c r="CD43" s="165"/>
      <c r="CE43" s="165"/>
      <c r="CF43" s="165"/>
      <c r="CG43" s="165"/>
      <c r="CH43" s="165"/>
      <c r="CI43" s="165"/>
      <c r="CJ43" s="165"/>
      <c r="CK43" s="165"/>
      <c r="CL43" s="165"/>
      <c r="CM43" s="165"/>
      <c r="CN43" s="165"/>
      <c r="CO43" s="165"/>
      <c r="CP43" s="165"/>
      <c r="CQ43" s="144"/>
      <c r="CR43" s="144"/>
      <c r="CS43" s="144"/>
      <c r="CT43" s="144"/>
      <c r="CU43" s="132"/>
      <c r="CV43" s="132"/>
      <c r="CW43" s="132"/>
      <c r="CX43" s="132"/>
      <c r="CY43" s="212"/>
      <c r="CZ43" s="223"/>
      <c r="DA43" s="223"/>
      <c r="DB43" s="223"/>
      <c r="DC43" s="223"/>
      <c r="DD43" s="164"/>
      <c r="DE43" s="164"/>
      <c r="DF43" s="164"/>
      <c r="DG43" s="184"/>
      <c r="DH43" s="184"/>
      <c r="DI43" s="19"/>
      <c r="DJ43" s="194"/>
      <c r="DK43" s="194"/>
      <c r="DL43" s="194"/>
      <c r="DM43" s="194"/>
      <c r="DN43" s="132"/>
      <c r="DO43" s="132"/>
      <c r="DP43" s="132"/>
      <c r="DQ43" s="132"/>
      <c r="DR43" s="223"/>
      <c r="DS43" s="223"/>
      <c r="DT43" s="223"/>
      <c r="DU43" s="223"/>
      <c r="DV43" s="132"/>
      <c r="DW43" s="132"/>
      <c r="DX43" s="19"/>
      <c r="DY43" s="19" t="s">
        <v>173</v>
      </c>
      <c r="DZ43" s="19"/>
      <c r="EA43" s="19"/>
      <c r="EB43" s="194"/>
      <c r="EC43" s="194"/>
      <c r="ED43" s="194"/>
      <c r="EE43" s="194"/>
      <c r="EF43" s="132"/>
      <c r="EG43" s="132"/>
      <c r="EH43" s="132"/>
      <c r="EI43" s="132"/>
      <c r="EJ43" s="223"/>
      <c r="EK43" s="223"/>
      <c r="EL43" s="223"/>
      <c r="EM43" s="223"/>
      <c r="EN43" s="132"/>
      <c r="EO43" s="132"/>
      <c r="EP43" s="19"/>
      <c r="EQ43" s="43"/>
      <c r="ER43" s="19"/>
      <c r="ES43" s="200"/>
      <c r="ET43" s="200"/>
      <c r="EU43" s="200"/>
      <c r="EV43" s="200"/>
      <c r="EW43" s="200"/>
      <c r="EX43" s="180"/>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64"/>
      <c r="FV43" s="201"/>
      <c r="FW43" s="201"/>
      <c r="FX43" s="201"/>
      <c r="FY43" s="201"/>
      <c r="FZ43" s="201"/>
      <c r="GA43" s="19"/>
      <c r="GB43" s="45"/>
    </row>
    <row r="44" spans="1:184" ht="7.5" customHeight="1" thickBot="1">
      <c r="A44" s="43"/>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6"/>
      <c r="BV44" s="156"/>
      <c r="BW44" s="44"/>
      <c r="BX44" s="44"/>
      <c r="BY44" s="19"/>
      <c r="BZ44" s="19"/>
      <c r="CA44" s="19"/>
      <c r="CB44" s="19"/>
      <c r="CC44" s="19"/>
      <c r="CD44" s="19"/>
      <c r="CE44" s="19"/>
      <c r="CF44" s="19"/>
      <c r="CG44" s="19"/>
      <c r="CH44" s="19"/>
      <c r="CI44" s="19"/>
      <c r="CJ44" s="19"/>
      <c r="CK44" s="19"/>
      <c r="CL44" s="19"/>
      <c r="CM44" s="19"/>
      <c r="CN44" s="19"/>
      <c r="CO44" s="19"/>
      <c r="CP44" s="19"/>
      <c r="CQ44" s="42"/>
      <c r="CR44" s="42"/>
      <c r="CS44" s="42"/>
      <c r="CT44" s="42"/>
      <c r="CU44" s="19"/>
      <c r="CV44" s="19"/>
      <c r="CW44" s="19"/>
      <c r="CX44" s="19"/>
      <c r="CY44" s="19"/>
      <c r="CZ44" s="42"/>
      <c r="DA44" s="42"/>
      <c r="DB44" s="42"/>
      <c r="DC44" s="42"/>
      <c r="DD44" s="19"/>
      <c r="DE44" s="19"/>
      <c r="DF44" s="19"/>
      <c r="DG44" s="43"/>
      <c r="DH44" s="43"/>
      <c r="DI44" s="19"/>
      <c r="DJ44" s="66"/>
      <c r="DK44" s="66"/>
      <c r="DL44" s="66"/>
      <c r="DM44" s="66"/>
      <c r="DN44" s="19"/>
      <c r="DO44" s="19"/>
      <c r="DP44" s="19"/>
      <c r="DQ44" s="19"/>
      <c r="DR44" s="42"/>
      <c r="DS44" s="42"/>
      <c r="DT44" s="42"/>
      <c r="DU44" s="42"/>
      <c r="DV44" s="19"/>
      <c r="DW44" s="19"/>
      <c r="DX44" s="19"/>
      <c r="DY44" s="19"/>
      <c r="DZ44" s="19"/>
      <c r="EA44" s="19"/>
      <c r="EB44" s="66"/>
      <c r="EC44" s="66"/>
      <c r="ED44" s="66"/>
      <c r="EE44" s="66"/>
      <c r="EF44" s="19"/>
      <c r="EG44" s="19"/>
      <c r="EH44" s="19"/>
      <c r="EI44" s="19"/>
      <c r="EJ44" s="42"/>
      <c r="EK44" s="42"/>
      <c r="EL44" s="42"/>
      <c r="EM44" s="42"/>
      <c r="EN44" s="19"/>
      <c r="EO44" s="19"/>
      <c r="EP44" s="19"/>
      <c r="EQ44" s="43"/>
      <c r="ER44" s="67"/>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19"/>
      <c r="GB44" s="45"/>
    </row>
    <row r="45" spans="1:184" ht="7.5" customHeight="1" thickBot="1">
      <c r="A45" s="43"/>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44"/>
      <c r="BX45" s="44"/>
      <c r="BY45" s="170" t="s">
        <v>330</v>
      </c>
      <c r="BZ45" s="170"/>
      <c r="CA45" s="170"/>
      <c r="CB45" s="170"/>
      <c r="CC45" s="170"/>
      <c r="CD45" s="170"/>
      <c r="CE45" s="170"/>
      <c r="CF45" s="170"/>
      <c r="CG45" s="170"/>
      <c r="CH45" s="170"/>
      <c r="CI45" s="170"/>
      <c r="CJ45" s="170"/>
      <c r="CK45" s="170"/>
      <c r="CL45" s="170"/>
      <c r="CM45" s="170"/>
      <c r="CN45" s="170"/>
      <c r="CO45" s="170"/>
      <c r="CP45" s="170"/>
      <c r="CQ45" s="224">
        <f>IF(ISNUMBER(CQ51),CQ51+CQ48-EA79,"")</f>
        <v>11.666</v>
      </c>
      <c r="CR45" s="225"/>
      <c r="CS45" s="225"/>
      <c r="CT45" s="225"/>
      <c r="CU45" s="143" t="s">
        <v>6</v>
      </c>
      <c r="CV45" s="143"/>
      <c r="CW45" s="143"/>
      <c r="CX45" s="143"/>
      <c r="CY45" s="152" t="s">
        <v>1</v>
      </c>
      <c r="CZ45" s="150">
        <f>IF(ISNUMBER(CQ45),CQ45*0.2641720523582,"")</f>
        <v>3.0818311628107615</v>
      </c>
      <c r="DA45" s="150"/>
      <c r="DB45" s="150"/>
      <c r="DC45" s="150"/>
      <c r="DD45" s="229" t="s">
        <v>7</v>
      </c>
      <c r="DE45" s="229"/>
      <c r="DF45" s="229"/>
      <c r="DG45" s="184" t="s">
        <v>173</v>
      </c>
      <c r="DH45" s="184"/>
      <c r="DI45" s="19"/>
      <c r="DJ45" s="151">
        <f>IF(AND(ISNUMBER(CQ45),$AV$27&gt;0),(CQ45-$EB$107)*1000/(PI()*(($AV$27/2)^2))+$EB$110,"")</f>
        <v>18.945934348061748</v>
      </c>
      <c r="DK45" s="151"/>
      <c r="DL45" s="151"/>
      <c r="DM45" s="151"/>
      <c r="DN45" s="143" t="s">
        <v>74</v>
      </c>
      <c r="DO45" s="143"/>
      <c r="DP45" s="143"/>
      <c r="DQ45" s="143"/>
      <c r="DR45" s="150">
        <f>IF(ISNUMBER(DJ45),DJ45/2.54,"")</f>
        <v>7.4590292708904515</v>
      </c>
      <c r="DS45" s="150"/>
      <c r="DT45" s="150"/>
      <c r="DU45" s="150"/>
      <c r="DV45" s="143" t="s">
        <v>25</v>
      </c>
      <c r="DW45" s="143"/>
      <c r="DX45" s="19"/>
      <c r="DY45" s="19"/>
      <c r="DZ45" s="19"/>
      <c r="EA45" s="19"/>
      <c r="EB45" s="151">
        <f>IF(AND(ISNUMBER(DJ45),$AV$30&gt;0),$AV$30-DJ45,"")</f>
        <v>12.054065651938252</v>
      </c>
      <c r="EC45" s="151"/>
      <c r="ED45" s="151"/>
      <c r="EE45" s="151"/>
      <c r="EF45" s="143" t="s">
        <v>74</v>
      </c>
      <c r="EG45" s="143"/>
      <c r="EH45" s="143"/>
      <c r="EI45" s="143"/>
      <c r="EJ45" s="150">
        <f>IF(ISNUMBER(EB45),EB45/2.54,"")</f>
        <v>4.745695138558367</v>
      </c>
      <c r="EK45" s="150"/>
      <c r="EL45" s="150"/>
      <c r="EM45" s="150"/>
      <c r="EN45" s="143" t="s">
        <v>25</v>
      </c>
      <c r="EO45" s="143"/>
      <c r="EP45" s="19"/>
      <c r="EQ45" s="43"/>
      <c r="ER45" s="19"/>
      <c r="ES45" s="200"/>
      <c r="ET45" s="200"/>
      <c r="EU45" s="200"/>
      <c r="EV45" s="200"/>
      <c r="EW45" s="200"/>
      <c r="EX45" s="18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64"/>
      <c r="FV45" s="201"/>
      <c r="FW45" s="201"/>
      <c r="FX45" s="201"/>
      <c r="FY45" s="201"/>
      <c r="FZ45" s="201"/>
      <c r="GA45" s="19"/>
      <c r="GB45" s="45"/>
    </row>
    <row r="46" spans="1:184" ht="7.5" customHeight="1">
      <c r="A46" s="43"/>
      <c r="B46" s="170" t="s">
        <v>233</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1">
        <v>1.061</v>
      </c>
      <c r="AB46" s="172"/>
      <c r="AC46" s="172"/>
      <c r="AD46" s="172"/>
      <c r="AE46" s="165" t="s">
        <v>260</v>
      </c>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246"/>
      <c r="BD46" s="246"/>
      <c r="BE46" s="246"/>
      <c r="BF46" s="246"/>
      <c r="BG46" s="165" t="s">
        <v>375</v>
      </c>
      <c r="BH46" s="165"/>
      <c r="BI46" s="165"/>
      <c r="BJ46" s="165"/>
      <c r="BK46" s="165"/>
      <c r="BL46" s="165"/>
      <c r="BM46" s="165"/>
      <c r="BN46" s="165"/>
      <c r="BO46" s="165"/>
      <c r="BP46" s="165"/>
      <c r="BQ46" s="165"/>
      <c r="BR46" s="165"/>
      <c r="BS46" s="165"/>
      <c r="BT46" s="181"/>
      <c r="BU46" s="181"/>
      <c r="BV46" s="61"/>
      <c r="BW46" s="44"/>
      <c r="BX46" s="44"/>
      <c r="BY46" s="170"/>
      <c r="BZ46" s="170"/>
      <c r="CA46" s="170"/>
      <c r="CB46" s="170"/>
      <c r="CC46" s="170"/>
      <c r="CD46" s="170"/>
      <c r="CE46" s="170"/>
      <c r="CF46" s="170"/>
      <c r="CG46" s="170"/>
      <c r="CH46" s="170"/>
      <c r="CI46" s="170"/>
      <c r="CJ46" s="170"/>
      <c r="CK46" s="170"/>
      <c r="CL46" s="170"/>
      <c r="CM46" s="170"/>
      <c r="CN46" s="170"/>
      <c r="CO46" s="170"/>
      <c r="CP46" s="170"/>
      <c r="CQ46" s="226"/>
      <c r="CR46" s="227"/>
      <c r="CS46" s="227"/>
      <c r="CT46" s="227"/>
      <c r="CU46" s="143"/>
      <c r="CV46" s="143"/>
      <c r="CW46" s="143"/>
      <c r="CX46" s="143"/>
      <c r="CY46" s="242"/>
      <c r="CZ46" s="150"/>
      <c r="DA46" s="150"/>
      <c r="DB46" s="150"/>
      <c r="DC46" s="150"/>
      <c r="DD46" s="229"/>
      <c r="DE46" s="229"/>
      <c r="DF46" s="229"/>
      <c r="DG46" s="184"/>
      <c r="DH46" s="184"/>
      <c r="DI46" s="19"/>
      <c r="DJ46" s="151"/>
      <c r="DK46" s="151"/>
      <c r="DL46" s="151"/>
      <c r="DM46" s="151"/>
      <c r="DN46" s="143"/>
      <c r="DO46" s="143"/>
      <c r="DP46" s="143"/>
      <c r="DQ46" s="143"/>
      <c r="DR46" s="150"/>
      <c r="DS46" s="150"/>
      <c r="DT46" s="150"/>
      <c r="DU46" s="150"/>
      <c r="DV46" s="143"/>
      <c r="DW46" s="143"/>
      <c r="DX46" s="19"/>
      <c r="DY46" s="19" t="s">
        <v>173</v>
      </c>
      <c r="DZ46" s="19"/>
      <c r="EA46" s="19"/>
      <c r="EB46" s="151"/>
      <c r="EC46" s="151"/>
      <c r="ED46" s="151"/>
      <c r="EE46" s="151"/>
      <c r="EF46" s="143"/>
      <c r="EG46" s="143"/>
      <c r="EH46" s="143"/>
      <c r="EI46" s="143"/>
      <c r="EJ46" s="150"/>
      <c r="EK46" s="150"/>
      <c r="EL46" s="150"/>
      <c r="EM46" s="150"/>
      <c r="EN46" s="143"/>
      <c r="EO46" s="143"/>
      <c r="EP46" s="19"/>
      <c r="EQ46" s="43"/>
      <c r="ER46" s="19"/>
      <c r="ES46" s="200"/>
      <c r="ET46" s="200"/>
      <c r="EU46" s="200"/>
      <c r="EV46" s="200"/>
      <c r="EW46" s="200"/>
      <c r="EX46" s="180"/>
      <c r="EY46" s="200"/>
      <c r="EZ46" s="200"/>
      <c r="FA46" s="200"/>
      <c r="FB46" s="200"/>
      <c r="FC46" s="200"/>
      <c r="FD46" s="200"/>
      <c r="FE46" s="200"/>
      <c r="FF46" s="200"/>
      <c r="FG46" s="200"/>
      <c r="FH46" s="200"/>
      <c r="FI46" s="200"/>
      <c r="FJ46" s="200"/>
      <c r="FK46" s="200"/>
      <c r="FL46" s="200"/>
      <c r="FM46" s="200"/>
      <c r="FN46" s="200"/>
      <c r="FO46" s="200"/>
      <c r="FP46" s="200"/>
      <c r="FQ46" s="200"/>
      <c r="FR46" s="200"/>
      <c r="FS46" s="200"/>
      <c r="FT46" s="200"/>
      <c r="FU46" s="64"/>
      <c r="FV46" s="201"/>
      <c r="FW46" s="201"/>
      <c r="FX46" s="201"/>
      <c r="FY46" s="201"/>
      <c r="FZ46" s="201"/>
      <c r="GA46" s="19"/>
      <c r="GB46" s="45"/>
    </row>
    <row r="47" spans="1:184" ht="7.5" customHeight="1">
      <c r="A47" s="43"/>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3"/>
      <c r="AB47" s="174"/>
      <c r="AC47" s="174"/>
      <c r="AD47" s="174"/>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246"/>
      <c r="BD47" s="246"/>
      <c r="BE47" s="246"/>
      <c r="BF47" s="246"/>
      <c r="BG47" s="165"/>
      <c r="BH47" s="165"/>
      <c r="BI47" s="165"/>
      <c r="BJ47" s="165"/>
      <c r="BK47" s="165"/>
      <c r="BL47" s="165"/>
      <c r="BM47" s="165"/>
      <c r="BN47" s="165"/>
      <c r="BO47" s="165"/>
      <c r="BP47" s="165"/>
      <c r="BQ47" s="165"/>
      <c r="BR47" s="165"/>
      <c r="BS47" s="165"/>
      <c r="BT47" s="181"/>
      <c r="BU47" s="181"/>
      <c r="BV47" s="61"/>
      <c r="BW47" s="44"/>
      <c r="BX47" s="44"/>
      <c r="BY47" s="19"/>
      <c r="BZ47" s="19"/>
      <c r="CA47" s="19"/>
      <c r="CB47" s="19"/>
      <c r="CC47" s="19"/>
      <c r="CD47" s="19"/>
      <c r="CE47" s="19"/>
      <c r="CF47" s="19"/>
      <c r="CG47" s="19"/>
      <c r="CH47" s="19"/>
      <c r="CI47" s="19"/>
      <c r="CJ47" s="19"/>
      <c r="CK47" s="19"/>
      <c r="CL47" s="19"/>
      <c r="CM47" s="19"/>
      <c r="CN47" s="19"/>
      <c r="CO47" s="19"/>
      <c r="CP47" s="19"/>
      <c r="CQ47" s="42"/>
      <c r="CR47" s="42"/>
      <c r="CS47" s="42"/>
      <c r="CT47" s="42"/>
      <c r="CU47" s="19"/>
      <c r="CV47" s="19"/>
      <c r="CW47" s="19"/>
      <c r="CX47" s="19"/>
      <c r="CY47" s="19"/>
      <c r="CZ47" s="42"/>
      <c r="DA47" s="42"/>
      <c r="DB47" s="42"/>
      <c r="DC47" s="42"/>
      <c r="DD47" s="19"/>
      <c r="DE47" s="19"/>
      <c r="DF47" s="19"/>
      <c r="DG47" s="43"/>
      <c r="DH47" s="43"/>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43"/>
      <c r="ER47" s="67"/>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19"/>
      <c r="GB47" s="45"/>
    </row>
    <row r="48" spans="1:184" ht="7.5" customHeight="1">
      <c r="A48" s="43"/>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51"/>
      <c r="BX48" s="51"/>
      <c r="BY48" s="165" t="s">
        <v>140</v>
      </c>
      <c r="BZ48" s="165"/>
      <c r="CA48" s="165"/>
      <c r="CB48" s="165"/>
      <c r="CC48" s="165"/>
      <c r="CD48" s="165"/>
      <c r="CE48" s="165"/>
      <c r="CF48" s="165"/>
      <c r="CG48" s="165"/>
      <c r="CH48" s="165"/>
      <c r="CI48" s="165"/>
      <c r="CJ48" s="165"/>
      <c r="CK48" s="165"/>
      <c r="CL48" s="165"/>
      <c r="CM48" s="165"/>
      <c r="CN48" s="165"/>
      <c r="CO48" s="165"/>
      <c r="CP48" s="165"/>
      <c r="CQ48" s="144">
        <f>IF(ISNUMBER(CQ51),IF(ISNUMBER(EB98),EB98,(CQ51*0.1666)*(1+DR98/100)*IF(OR(K155="Y",ISNUMBER(AF155)),0.66,1)),"")</f>
        <v>1.666</v>
      </c>
      <c r="CR48" s="144"/>
      <c r="CS48" s="144"/>
      <c r="CT48" s="144"/>
      <c r="CU48" s="132" t="s">
        <v>6</v>
      </c>
      <c r="CV48" s="132"/>
      <c r="CW48" s="132"/>
      <c r="CX48" s="132"/>
      <c r="CY48" s="179" t="s">
        <v>1</v>
      </c>
      <c r="CZ48" s="223">
        <f>IF(ISNUMBER(CQ48),CQ48*0.2641720523582,"")</f>
        <v>0.4401106392287612</v>
      </c>
      <c r="DA48" s="223"/>
      <c r="DB48" s="223"/>
      <c r="DC48" s="223"/>
      <c r="DD48" s="164" t="s">
        <v>7</v>
      </c>
      <c r="DE48" s="164"/>
      <c r="DF48" s="164"/>
      <c r="DG48" s="184" t="s">
        <v>173</v>
      </c>
      <c r="DH48" s="184"/>
      <c r="DI48" s="19"/>
      <c r="DJ48" s="194">
        <f>IF(AND(ISNUMBER(CQ48),$AV$27&gt;0),(CQ48-$EB$107)*1000/(PI()*(($AV$27/2)^2))+$EB$110,"")</f>
        <v>2.705634032562221</v>
      </c>
      <c r="DK48" s="194"/>
      <c r="DL48" s="194"/>
      <c r="DM48" s="194"/>
      <c r="DN48" s="132" t="s">
        <v>74</v>
      </c>
      <c r="DO48" s="132"/>
      <c r="DP48" s="132"/>
      <c r="DQ48" s="132"/>
      <c r="DR48" s="223">
        <f>IF(ISNUMBER(DJ48),DJ48/2.54,"")</f>
        <v>1.0652102490402444</v>
      </c>
      <c r="DS48" s="223"/>
      <c r="DT48" s="223"/>
      <c r="DU48" s="223"/>
      <c r="DV48" s="132" t="s">
        <v>25</v>
      </c>
      <c r="DW48" s="132"/>
      <c r="DX48" s="248">
        <f>IF(AND(ISNUMBER(DJ48),ISNUMBER(EB110)),IF(DJ48-EB110&lt;0,"!",""),"")</f>
      </c>
      <c r="DY48" s="114"/>
      <c r="DZ48" s="19"/>
      <c r="EA48" s="19"/>
      <c r="EB48" s="194">
        <f>IF(AND(ISNUMBER(DJ48),$AV$30&gt;0),$AV$30-DJ48,"")</f>
        <v>28.29436596743778</v>
      </c>
      <c r="EC48" s="194"/>
      <c r="ED48" s="194"/>
      <c r="EE48" s="194"/>
      <c r="EF48" s="132" t="s">
        <v>74</v>
      </c>
      <c r="EG48" s="132"/>
      <c r="EH48" s="132"/>
      <c r="EI48" s="132"/>
      <c r="EJ48" s="223">
        <f>IF(ISNUMBER(EB48),EB48/2.54,"")</f>
        <v>11.139514160408575</v>
      </c>
      <c r="EK48" s="223"/>
      <c r="EL48" s="223"/>
      <c r="EM48" s="223"/>
      <c r="EN48" s="132" t="s">
        <v>25</v>
      </c>
      <c r="EO48" s="132"/>
      <c r="EP48" s="248">
        <f>IF(AND(ISNUMBER(EB48),ISNUMBER(EB110)),IF((EB48+EB110)&gt;AV30,"!",""),"")</f>
      </c>
      <c r="EQ48" s="43"/>
      <c r="ER48" s="19"/>
      <c r="ES48" s="215"/>
      <c r="ET48" s="200"/>
      <c r="EU48" s="200"/>
      <c r="EV48" s="200"/>
      <c r="EW48" s="200"/>
      <c r="EX48" s="180"/>
      <c r="EY48" s="200"/>
      <c r="EZ48" s="200"/>
      <c r="FA48" s="200"/>
      <c r="FB48" s="200"/>
      <c r="FC48" s="200"/>
      <c r="FD48" s="200"/>
      <c r="FE48" s="200"/>
      <c r="FF48" s="200"/>
      <c r="FG48" s="200"/>
      <c r="FH48" s="200"/>
      <c r="FI48" s="200"/>
      <c r="FJ48" s="200"/>
      <c r="FK48" s="200"/>
      <c r="FL48" s="200"/>
      <c r="FM48" s="200"/>
      <c r="FN48" s="200"/>
      <c r="FO48" s="200"/>
      <c r="FP48" s="200"/>
      <c r="FQ48" s="200"/>
      <c r="FR48" s="200"/>
      <c r="FS48" s="200"/>
      <c r="FT48" s="200"/>
      <c r="FU48" s="64"/>
      <c r="FV48" s="201"/>
      <c r="FW48" s="201"/>
      <c r="FX48" s="201"/>
      <c r="FY48" s="201"/>
      <c r="FZ48" s="201"/>
      <c r="GA48" s="19"/>
      <c r="GB48" s="45"/>
    </row>
    <row r="49" spans="1:184" ht="7.5" customHeight="1">
      <c r="A49" s="43"/>
      <c r="B49" s="19"/>
      <c r="C49" s="199" t="s">
        <v>372</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
      <c r="AM49" s="199" t="s">
        <v>164</v>
      </c>
      <c r="AN49" s="199"/>
      <c r="AO49" s="199"/>
      <c r="AP49" s="199"/>
      <c r="AQ49" s="199"/>
      <c r="AR49" s="199"/>
      <c r="AS49" s="199"/>
      <c r="AT49" s="199"/>
      <c r="AU49" s="199"/>
      <c r="AV49" s="199"/>
      <c r="AW49" s="199"/>
      <c r="AX49" s="199"/>
      <c r="AY49" s="199"/>
      <c r="AZ49" s="199"/>
      <c r="BA49" s="199"/>
      <c r="BB49" s="199"/>
      <c r="BC49" s="199"/>
      <c r="BD49" s="199"/>
      <c r="BE49" s="199"/>
      <c r="BF49" s="199"/>
      <c r="BG49" s="69"/>
      <c r="BH49" s="158" t="s">
        <v>237</v>
      </c>
      <c r="BI49" s="158"/>
      <c r="BJ49" s="158"/>
      <c r="BK49" s="158"/>
      <c r="BL49" s="158"/>
      <c r="BM49" s="158"/>
      <c r="BN49" s="158"/>
      <c r="BO49" s="158"/>
      <c r="BP49" s="158"/>
      <c r="BQ49" s="158"/>
      <c r="BR49" s="158"/>
      <c r="BS49" s="158"/>
      <c r="BT49" s="158"/>
      <c r="BU49" s="158"/>
      <c r="BV49" s="158"/>
      <c r="BW49" s="51"/>
      <c r="BX49" s="51"/>
      <c r="BY49" s="165"/>
      <c r="BZ49" s="165"/>
      <c r="CA49" s="165"/>
      <c r="CB49" s="165"/>
      <c r="CC49" s="165"/>
      <c r="CD49" s="165"/>
      <c r="CE49" s="165"/>
      <c r="CF49" s="165"/>
      <c r="CG49" s="165"/>
      <c r="CH49" s="165"/>
      <c r="CI49" s="165"/>
      <c r="CJ49" s="165"/>
      <c r="CK49" s="165"/>
      <c r="CL49" s="165"/>
      <c r="CM49" s="165"/>
      <c r="CN49" s="165"/>
      <c r="CO49" s="165"/>
      <c r="CP49" s="165"/>
      <c r="CQ49" s="144"/>
      <c r="CR49" s="144"/>
      <c r="CS49" s="144"/>
      <c r="CT49" s="144"/>
      <c r="CU49" s="132"/>
      <c r="CV49" s="132"/>
      <c r="CW49" s="132"/>
      <c r="CX49" s="132"/>
      <c r="CY49" s="212"/>
      <c r="CZ49" s="223"/>
      <c r="DA49" s="223"/>
      <c r="DB49" s="223"/>
      <c r="DC49" s="223"/>
      <c r="DD49" s="164"/>
      <c r="DE49" s="164"/>
      <c r="DF49" s="164"/>
      <c r="DG49" s="184"/>
      <c r="DH49" s="184"/>
      <c r="DI49" s="19"/>
      <c r="DJ49" s="194"/>
      <c r="DK49" s="194"/>
      <c r="DL49" s="194"/>
      <c r="DM49" s="194"/>
      <c r="DN49" s="132"/>
      <c r="DO49" s="132"/>
      <c r="DP49" s="132"/>
      <c r="DQ49" s="132"/>
      <c r="DR49" s="223"/>
      <c r="DS49" s="223"/>
      <c r="DT49" s="223"/>
      <c r="DU49" s="223"/>
      <c r="DV49" s="132"/>
      <c r="DW49" s="132"/>
      <c r="DX49" s="248"/>
      <c r="DY49" s="114"/>
      <c r="DZ49" s="19"/>
      <c r="EA49" s="19"/>
      <c r="EB49" s="194"/>
      <c r="EC49" s="194"/>
      <c r="ED49" s="194"/>
      <c r="EE49" s="194"/>
      <c r="EF49" s="132"/>
      <c r="EG49" s="132"/>
      <c r="EH49" s="132"/>
      <c r="EI49" s="132"/>
      <c r="EJ49" s="223"/>
      <c r="EK49" s="223"/>
      <c r="EL49" s="223"/>
      <c r="EM49" s="223"/>
      <c r="EN49" s="132"/>
      <c r="EO49" s="132"/>
      <c r="EP49" s="248"/>
      <c r="EQ49" s="43"/>
      <c r="ER49" s="19"/>
      <c r="ES49" s="200"/>
      <c r="ET49" s="200"/>
      <c r="EU49" s="200"/>
      <c r="EV49" s="200"/>
      <c r="EW49" s="200"/>
      <c r="EX49" s="180"/>
      <c r="EY49" s="200"/>
      <c r="EZ49" s="200"/>
      <c r="FA49" s="200"/>
      <c r="FB49" s="200"/>
      <c r="FC49" s="200"/>
      <c r="FD49" s="200"/>
      <c r="FE49" s="200"/>
      <c r="FF49" s="200"/>
      <c r="FG49" s="200"/>
      <c r="FH49" s="200"/>
      <c r="FI49" s="200"/>
      <c r="FJ49" s="200"/>
      <c r="FK49" s="200"/>
      <c r="FL49" s="200"/>
      <c r="FM49" s="200"/>
      <c r="FN49" s="200"/>
      <c r="FO49" s="200"/>
      <c r="FP49" s="200"/>
      <c r="FQ49" s="200"/>
      <c r="FR49" s="200"/>
      <c r="FS49" s="200"/>
      <c r="FT49" s="200"/>
      <c r="FU49" s="64"/>
      <c r="FV49" s="201"/>
      <c r="FW49" s="201"/>
      <c r="FX49" s="201"/>
      <c r="FY49" s="201"/>
      <c r="FZ49" s="201"/>
      <c r="GA49" s="19"/>
      <c r="GB49" s="45"/>
    </row>
    <row r="50" spans="1:184" ht="7.5" customHeight="1" thickBot="1">
      <c r="A50" s="43"/>
      <c r="B50" s="1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
      <c r="AM50" s="199"/>
      <c r="AN50" s="199"/>
      <c r="AO50" s="199"/>
      <c r="AP50" s="199"/>
      <c r="AQ50" s="199"/>
      <c r="AR50" s="199"/>
      <c r="AS50" s="199"/>
      <c r="AT50" s="199"/>
      <c r="AU50" s="199"/>
      <c r="AV50" s="199"/>
      <c r="AW50" s="199"/>
      <c r="AX50" s="199"/>
      <c r="AY50" s="199"/>
      <c r="AZ50" s="199"/>
      <c r="BA50" s="199"/>
      <c r="BB50" s="199"/>
      <c r="BC50" s="199"/>
      <c r="BD50" s="199"/>
      <c r="BE50" s="199"/>
      <c r="BF50" s="199"/>
      <c r="BG50" s="69"/>
      <c r="BH50" s="158"/>
      <c r="BI50" s="158"/>
      <c r="BJ50" s="158"/>
      <c r="BK50" s="158"/>
      <c r="BL50" s="158"/>
      <c r="BM50" s="158"/>
      <c r="BN50" s="158"/>
      <c r="BO50" s="158"/>
      <c r="BP50" s="158"/>
      <c r="BQ50" s="158"/>
      <c r="BR50" s="158"/>
      <c r="BS50" s="158"/>
      <c r="BT50" s="158"/>
      <c r="BU50" s="158"/>
      <c r="BV50" s="158"/>
      <c r="BW50" s="51"/>
      <c r="BX50" s="51"/>
      <c r="BY50" s="19"/>
      <c r="BZ50" s="19"/>
      <c r="CA50" s="19"/>
      <c r="CB50" s="19"/>
      <c r="CC50" s="19"/>
      <c r="CD50" s="19"/>
      <c r="CE50" s="19"/>
      <c r="CF50" s="19"/>
      <c r="CG50" s="19"/>
      <c r="CH50" s="19"/>
      <c r="CI50" s="19"/>
      <c r="CJ50" s="19"/>
      <c r="CK50" s="19"/>
      <c r="CL50" s="19"/>
      <c r="CM50" s="19"/>
      <c r="CN50" s="19"/>
      <c r="CO50" s="19"/>
      <c r="CP50" s="19"/>
      <c r="CQ50" s="42"/>
      <c r="CR50" s="42"/>
      <c r="CS50" s="42"/>
      <c r="CT50" s="42"/>
      <c r="CU50" s="19"/>
      <c r="CV50" s="19"/>
      <c r="CW50" s="19"/>
      <c r="CX50" s="19"/>
      <c r="CY50" s="19"/>
      <c r="CZ50" s="42"/>
      <c r="DA50" s="42"/>
      <c r="DB50" s="42"/>
      <c r="DC50" s="42"/>
      <c r="DD50" s="19"/>
      <c r="DE50" s="19"/>
      <c r="DF50" s="19"/>
      <c r="DG50" s="43"/>
      <c r="DH50" s="43"/>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43"/>
      <c r="ER50" s="67"/>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19"/>
      <c r="GB50" s="45"/>
    </row>
    <row r="51" spans="1:184" ht="7.5" customHeight="1">
      <c r="A51" s="43"/>
      <c r="B51" s="19"/>
      <c r="C51" s="19"/>
      <c r="D51" s="19"/>
      <c r="E51" s="19"/>
      <c r="F51" s="19"/>
      <c r="G51" s="19"/>
      <c r="H51" s="19"/>
      <c r="I51" s="19"/>
      <c r="J51" s="19"/>
      <c r="K51" s="19"/>
      <c r="L51" s="19"/>
      <c r="M51" s="19"/>
      <c r="N51" s="19"/>
      <c r="O51" s="19"/>
      <c r="P51" s="19"/>
      <c r="Q51" s="19"/>
      <c r="R51" s="19"/>
      <c r="S51" s="19"/>
      <c r="T51" s="19"/>
      <c r="U51" s="19"/>
      <c r="V51" s="19"/>
      <c r="W51" s="255" t="s">
        <v>264</v>
      </c>
      <c r="X51" s="255"/>
      <c r="Y51" s="255"/>
      <c r="Z51" s="255"/>
      <c r="AA51" s="255"/>
      <c r="AB51" s="255"/>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51"/>
      <c r="BX51" s="51"/>
      <c r="BY51" s="170" t="s">
        <v>4</v>
      </c>
      <c r="BZ51" s="170"/>
      <c r="CA51" s="170"/>
      <c r="CB51" s="170"/>
      <c r="CC51" s="170"/>
      <c r="CD51" s="170"/>
      <c r="CE51" s="170"/>
      <c r="CF51" s="170"/>
      <c r="CG51" s="170"/>
      <c r="CH51" s="170"/>
      <c r="CI51" s="170"/>
      <c r="CJ51" s="170"/>
      <c r="CK51" s="170"/>
      <c r="CL51" s="170"/>
      <c r="CM51" s="170"/>
      <c r="CN51" s="170"/>
      <c r="CO51" s="170"/>
      <c r="CP51" s="170"/>
      <c r="CQ51" s="224">
        <f>IF(AND(ISNUMBER(P33),ISNUMBER(BH36)),BH36,"")</f>
        <v>10</v>
      </c>
      <c r="CR51" s="225"/>
      <c r="CS51" s="225"/>
      <c r="CT51" s="225"/>
      <c r="CU51" s="143" t="s">
        <v>6</v>
      </c>
      <c r="CV51" s="143"/>
      <c r="CW51" s="143"/>
      <c r="CX51" s="143"/>
      <c r="CY51" s="152" t="s">
        <v>1</v>
      </c>
      <c r="CZ51" s="150">
        <f>IF(ISNUMBER(CQ51),CQ51*0.2641720523582,"")</f>
        <v>2.6417205235820003</v>
      </c>
      <c r="DA51" s="150"/>
      <c r="DB51" s="150"/>
      <c r="DC51" s="150"/>
      <c r="DD51" s="229" t="s">
        <v>7</v>
      </c>
      <c r="DE51" s="229"/>
      <c r="DF51" s="229"/>
      <c r="DG51" s="43"/>
      <c r="DH51" s="43"/>
      <c r="DI51" s="158" t="s">
        <v>305</v>
      </c>
      <c r="DJ51" s="158"/>
      <c r="DK51" s="158"/>
      <c r="DL51" s="158"/>
      <c r="DM51" s="158"/>
      <c r="DN51" s="158"/>
      <c r="DO51" s="158"/>
      <c r="DP51" s="158"/>
      <c r="DQ51" s="158"/>
      <c r="DR51" s="158"/>
      <c r="DS51" s="158"/>
      <c r="DT51" s="158"/>
      <c r="DU51" s="158"/>
      <c r="DV51" s="158"/>
      <c r="DW51" s="155" t="s">
        <v>91</v>
      </c>
      <c r="DX51" s="156"/>
      <c r="DY51" s="60"/>
      <c r="DZ51" s="60"/>
      <c r="EA51" s="158" t="s">
        <v>306</v>
      </c>
      <c r="EB51" s="158"/>
      <c r="EC51" s="158"/>
      <c r="ED51" s="158"/>
      <c r="EE51" s="158"/>
      <c r="EF51" s="158"/>
      <c r="EG51" s="158"/>
      <c r="EH51" s="158"/>
      <c r="EI51" s="158"/>
      <c r="EJ51" s="158"/>
      <c r="EK51" s="158"/>
      <c r="EL51" s="158"/>
      <c r="EM51" s="158"/>
      <c r="EN51" s="158"/>
      <c r="EO51" s="155" t="s">
        <v>91</v>
      </c>
      <c r="EP51" s="156"/>
      <c r="EQ51" s="43"/>
      <c r="ER51" s="19"/>
      <c r="ES51" s="200"/>
      <c r="ET51" s="200"/>
      <c r="EU51" s="200"/>
      <c r="EV51" s="200"/>
      <c r="EW51" s="200"/>
      <c r="EX51" s="180"/>
      <c r="EY51" s="200"/>
      <c r="EZ51" s="200"/>
      <c r="FA51" s="200"/>
      <c r="FB51" s="200"/>
      <c r="FC51" s="200"/>
      <c r="FD51" s="200"/>
      <c r="FE51" s="200"/>
      <c r="FF51" s="200"/>
      <c r="FG51" s="200"/>
      <c r="FH51" s="200"/>
      <c r="FI51" s="200"/>
      <c r="FJ51" s="200"/>
      <c r="FK51" s="200"/>
      <c r="FL51" s="200"/>
      <c r="FM51" s="200"/>
      <c r="FN51" s="200"/>
      <c r="FO51" s="200"/>
      <c r="FP51" s="200"/>
      <c r="FQ51" s="200"/>
      <c r="FR51" s="200"/>
      <c r="FS51" s="200"/>
      <c r="FT51" s="200"/>
      <c r="FU51" s="64"/>
      <c r="FV51" s="201"/>
      <c r="FW51" s="201"/>
      <c r="FX51" s="201"/>
      <c r="FY51" s="201"/>
      <c r="FZ51" s="201"/>
      <c r="GA51" s="19"/>
      <c r="GB51" s="45"/>
    </row>
    <row r="52" spans="1:184" ht="7.5" customHeight="1">
      <c r="A52" s="43"/>
      <c r="B52" s="19"/>
      <c r="C52" s="143" t="s">
        <v>374</v>
      </c>
      <c r="D52" s="143"/>
      <c r="E52" s="143"/>
      <c r="F52" s="143"/>
      <c r="G52" s="143"/>
      <c r="H52" s="143"/>
      <c r="I52" s="143"/>
      <c r="J52" s="143"/>
      <c r="K52" s="143"/>
      <c r="L52" s="143"/>
      <c r="M52" s="143"/>
      <c r="N52" s="143"/>
      <c r="O52" s="70"/>
      <c r="P52" s="143" t="s">
        <v>12</v>
      </c>
      <c r="Q52" s="143"/>
      <c r="R52" s="143"/>
      <c r="S52" s="70"/>
      <c r="T52" s="143" t="s">
        <v>13</v>
      </c>
      <c r="U52" s="143"/>
      <c r="V52" s="143"/>
      <c r="W52" s="255"/>
      <c r="X52" s="255"/>
      <c r="Y52" s="255"/>
      <c r="Z52" s="255"/>
      <c r="AA52" s="255"/>
      <c r="AB52" s="255"/>
      <c r="AC52" s="143" t="s">
        <v>10</v>
      </c>
      <c r="AD52" s="143"/>
      <c r="AE52" s="143"/>
      <c r="AF52" s="143"/>
      <c r="AG52" s="143"/>
      <c r="AH52" s="152" t="s">
        <v>9</v>
      </c>
      <c r="AI52" s="152"/>
      <c r="AJ52" s="143"/>
      <c r="AK52" s="143"/>
      <c r="AL52" s="19"/>
      <c r="AM52" s="143" t="s">
        <v>165</v>
      </c>
      <c r="AN52" s="143"/>
      <c r="AO52" s="143"/>
      <c r="AP52" s="143"/>
      <c r="AQ52" s="143"/>
      <c r="AR52" s="143"/>
      <c r="AS52" s="143"/>
      <c r="AT52" s="143"/>
      <c r="AU52" s="143"/>
      <c r="AV52" s="143"/>
      <c r="AW52" s="143"/>
      <c r="AX52" s="71"/>
      <c r="AY52" s="70"/>
      <c r="AZ52" s="143" t="s">
        <v>12</v>
      </c>
      <c r="BA52" s="143"/>
      <c r="BB52" s="143"/>
      <c r="BC52" s="70"/>
      <c r="BD52" s="143" t="s">
        <v>13</v>
      </c>
      <c r="BE52" s="143"/>
      <c r="BF52" s="143"/>
      <c r="BG52" s="70"/>
      <c r="BH52" s="143" t="s">
        <v>11</v>
      </c>
      <c r="BI52" s="143"/>
      <c r="BJ52" s="143"/>
      <c r="BK52" s="143"/>
      <c r="BL52" s="143" t="s">
        <v>10</v>
      </c>
      <c r="BM52" s="143"/>
      <c r="BN52" s="143"/>
      <c r="BO52" s="143"/>
      <c r="BP52" s="143"/>
      <c r="BQ52" s="143"/>
      <c r="BR52" s="152" t="s">
        <v>9</v>
      </c>
      <c r="BS52" s="152"/>
      <c r="BT52" s="143"/>
      <c r="BU52" s="143"/>
      <c r="BV52" s="19"/>
      <c r="BW52" s="51"/>
      <c r="BX52" s="51"/>
      <c r="BY52" s="170"/>
      <c r="BZ52" s="170"/>
      <c r="CA52" s="170"/>
      <c r="CB52" s="170"/>
      <c r="CC52" s="170"/>
      <c r="CD52" s="170"/>
      <c r="CE52" s="170"/>
      <c r="CF52" s="170"/>
      <c r="CG52" s="170"/>
      <c r="CH52" s="170"/>
      <c r="CI52" s="170"/>
      <c r="CJ52" s="170"/>
      <c r="CK52" s="170"/>
      <c r="CL52" s="170"/>
      <c r="CM52" s="170"/>
      <c r="CN52" s="170"/>
      <c r="CO52" s="170"/>
      <c r="CP52" s="170"/>
      <c r="CQ52" s="226"/>
      <c r="CR52" s="227"/>
      <c r="CS52" s="227"/>
      <c r="CT52" s="227"/>
      <c r="CU52" s="143"/>
      <c r="CV52" s="143"/>
      <c r="CW52" s="143"/>
      <c r="CX52" s="143"/>
      <c r="CY52" s="242"/>
      <c r="CZ52" s="150"/>
      <c r="DA52" s="150"/>
      <c r="DB52" s="150"/>
      <c r="DC52" s="150"/>
      <c r="DD52" s="229"/>
      <c r="DE52" s="229"/>
      <c r="DF52" s="229"/>
      <c r="DG52" s="43"/>
      <c r="DH52" s="43"/>
      <c r="DI52" s="158"/>
      <c r="DJ52" s="158"/>
      <c r="DK52" s="158"/>
      <c r="DL52" s="158"/>
      <c r="DM52" s="158"/>
      <c r="DN52" s="158"/>
      <c r="DO52" s="158"/>
      <c r="DP52" s="158"/>
      <c r="DQ52" s="158"/>
      <c r="DR52" s="158"/>
      <c r="DS52" s="158"/>
      <c r="DT52" s="158"/>
      <c r="DU52" s="158"/>
      <c r="DV52" s="158"/>
      <c r="DW52" s="156"/>
      <c r="DX52" s="156"/>
      <c r="DY52" s="60"/>
      <c r="DZ52" s="60"/>
      <c r="EA52" s="158"/>
      <c r="EB52" s="158"/>
      <c r="EC52" s="158"/>
      <c r="ED52" s="158"/>
      <c r="EE52" s="158"/>
      <c r="EF52" s="158"/>
      <c r="EG52" s="158"/>
      <c r="EH52" s="158"/>
      <c r="EI52" s="158"/>
      <c r="EJ52" s="158"/>
      <c r="EK52" s="158"/>
      <c r="EL52" s="158"/>
      <c r="EM52" s="158"/>
      <c r="EN52" s="158"/>
      <c r="EO52" s="156"/>
      <c r="EP52" s="156"/>
      <c r="EQ52" s="43"/>
      <c r="ER52" s="19"/>
      <c r="ES52" s="200"/>
      <c r="ET52" s="200"/>
      <c r="EU52" s="200"/>
      <c r="EV52" s="200"/>
      <c r="EW52" s="200"/>
      <c r="EX52" s="180"/>
      <c r="EY52" s="200"/>
      <c r="EZ52" s="200"/>
      <c r="FA52" s="200"/>
      <c r="FB52" s="200"/>
      <c r="FC52" s="200"/>
      <c r="FD52" s="200"/>
      <c r="FE52" s="200"/>
      <c r="FF52" s="200"/>
      <c r="FG52" s="200"/>
      <c r="FH52" s="200"/>
      <c r="FI52" s="200"/>
      <c r="FJ52" s="200"/>
      <c r="FK52" s="200"/>
      <c r="FL52" s="200"/>
      <c r="FM52" s="200"/>
      <c r="FN52" s="200"/>
      <c r="FO52" s="200"/>
      <c r="FP52" s="200"/>
      <c r="FQ52" s="200"/>
      <c r="FR52" s="200"/>
      <c r="FS52" s="200"/>
      <c r="FT52" s="200"/>
      <c r="FU52" s="64"/>
      <c r="FV52" s="201"/>
      <c r="FW52" s="201"/>
      <c r="FX52" s="201"/>
      <c r="FY52" s="201"/>
      <c r="FZ52" s="201"/>
      <c r="GA52" s="19"/>
      <c r="GB52" s="45"/>
    </row>
    <row r="53" spans="1:184" ht="7.5" customHeight="1">
      <c r="A53" s="43"/>
      <c r="B53" s="19"/>
      <c r="C53" s="143"/>
      <c r="D53" s="143"/>
      <c r="E53" s="143"/>
      <c r="F53" s="143"/>
      <c r="G53" s="143"/>
      <c r="H53" s="143"/>
      <c r="I53" s="143"/>
      <c r="J53" s="143"/>
      <c r="K53" s="143"/>
      <c r="L53" s="143"/>
      <c r="M53" s="143"/>
      <c r="N53" s="143"/>
      <c r="O53" s="70"/>
      <c r="P53" s="143"/>
      <c r="Q53" s="143"/>
      <c r="R53" s="143"/>
      <c r="S53" s="70"/>
      <c r="T53" s="143"/>
      <c r="U53" s="143"/>
      <c r="V53" s="143"/>
      <c r="W53" s="255"/>
      <c r="X53" s="255"/>
      <c r="Y53" s="255"/>
      <c r="Z53" s="255"/>
      <c r="AA53" s="255"/>
      <c r="AB53" s="255"/>
      <c r="AC53" s="143"/>
      <c r="AD53" s="143"/>
      <c r="AE53" s="143"/>
      <c r="AF53" s="143"/>
      <c r="AG53" s="143"/>
      <c r="AH53" s="143"/>
      <c r="AI53" s="143"/>
      <c r="AJ53" s="143"/>
      <c r="AK53" s="143"/>
      <c r="AL53" s="19"/>
      <c r="AM53" s="143"/>
      <c r="AN53" s="143"/>
      <c r="AO53" s="143"/>
      <c r="AP53" s="143"/>
      <c r="AQ53" s="143"/>
      <c r="AR53" s="143"/>
      <c r="AS53" s="143"/>
      <c r="AT53" s="143"/>
      <c r="AU53" s="143"/>
      <c r="AV53" s="143"/>
      <c r="AW53" s="143"/>
      <c r="AX53" s="71"/>
      <c r="AY53" s="70"/>
      <c r="AZ53" s="143"/>
      <c r="BA53" s="143"/>
      <c r="BB53" s="143"/>
      <c r="BC53" s="70"/>
      <c r="BD53" s="143"/>
      <c r="BE53" s="143"/>
      <c r="BF53" s="143"/>
      <c r="BG53" s="70"/>
      <c r="BH53" s="143"/>
      <c r="BI53" s="143"/>
      <c r="BJ53" s="143"/>
      <c r="BK53" s="143"/>
      <c r="BL53" s="143"/>
      <c r="BM53" s="143"/>
      <c r="BN53" s="143"/>
      <c r="BO53" s="143"/>
      <c r="BP53" s="143"/>
      <c r="BQ53" s="143"/>
      <c r="BR53" s="143"/>
      <c r="BS53" s="143"/>
      <c r="BT53" s="143"/>
      <c r="BU53" s="143"/>
      <c r="BV53" s="19"/>
      <c r="BW53" s="51"/>
      <c r="BX53" s="51"/>
      <c r="BY53" s="19"/>
      <c r="BZ53" s="19"/>
      <c r="CA53" s="19"/>
      <c r="CB53" s="19"/>
      <c r="CC53" s="19"/>
      <c r="CD53" s="19"/>
      <c r="CE53" s="19"/>
      <c r="CF53" s="19"/>
      <c r="CG53" s="19"/>
      <c r="CH53" s="19"/>
      <c r="CI53" s="19"/>
      <c r="CJ53" s="19"/>
      <c r="CK53" s="19"/>
      <c r="CL53" s="19"/>
      <c r="CM53" s="19"/>
      <c r="CN53" s="19"/>
      <c r="CO53" s="19"/>
      <c r="CP53" s="19"/>
      <c r="CQ53" s="42"/>
      <c r="CR53" s="42"/>
      <c r="CS53" s="42"/>
      <c r="CT53" s="42"/>
      <c r="CU53" s="19"/>
      <c r="CV53" s="19"/>
      <c r="CW53" s="19"/>
      <c r="CX53" s="19"/>
      <c r="CY53" s="19"/>
      <c r="CZ53" s="42"/>
      <c r="DA53" s="42"/>
      <c r="DB53" s="42"/>
      <c r="DC53" s="42"/>
      <c r="DD53" s="19"/>
      <c r="DE53" s="19"/>
      <c r="DF53" s="19"/>
      <c r="DG53" s="43"/>
      <c r="DH53" s="43"/>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43"/>
      <c r="ER53" s="67"/>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19"/>
      <c r="GB53" s="45"/>
    </row>
    <row r="54" spans="1:184" ht="7.5" customHeight="1" thickBot="1">
      <c r="A54" s="43"/>
      <c r="B54" s="19"/>
      <c r="C54" s="19"/>
      <c r="D54" s="19"/>
      <c r="E54" s="19"/>
      <c r="F54" s="19"/>
      <c r="G54" s="19"/>
      <c r="H54" s="19"/>
      <c r="I54" s="19"/>
      <c r="J54" s="19"/>
      <c r="K54" s="19"/>
      <c r="L54" s="19"/>
      <c r="M54" s="19"/>
      <c r="N54" s="19"/>
      <c r="O54" s="19"/>
      <c r="P54" s="19"/>
      <c r="Q54" s="19"/>
      <c r="R54" s="19"/>
      <c r="S54" s="19"/>
      <c r="T54" s="19"/>
      <c r="U54" s="19"/>
      <c r="V54" s="19"/>
      <c r="W54" s="255"/>
      <c r="X54" s="255"/>
      <c r="Y54" s="255"/>
      <c r="Z54" s="255"/>
      <c r="AA54" s="255"/>
      <c r="AB54" s="255"/>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51"/>
      <c r="BX54" s="51"/>
      <c r="BY54" s="165" t="s">
        <v>141</v>
      </c>
      <c r="BZ54" s="165"/>
      <c r="CA54" s="165"/>
      <c r="CB54" s="165"/>
      <c r="CC54" s="165"/>
      <c r="CD54" s="165"/>
      <c r="CE54" s="165"/>
      <c r="CF54" s="165"/>
      <c r="CG54" s="165"/>
      <c r="CH54" s="165"/>
      <c r="CI54" s="165"/>
      <c r="CJ54" s="165"/>
      <c r="CK54" s="165"/>
      <c r="CL54" s="165"/>
      <c r="CM54" s="165"/>
      <c r="CN54" s="165"/>
      <c r="CO54" s="165"/>
      <c r="CP54" s="165"/>
      <c r="CQ54" s="144">
        <f>IF(ISNUMBER(CQ51),IF(ISNUMBER(EB101),EB101,(CQ51*0.074)*(1+DR101/100)*IF(OR(Y176="Y",AJ176="Y"),0.5,1)),"")</f>
        <v>0.74</v>
      </c>
      <c r="CR54" s="144"/>
      <c r="CS54" s="144"/>
      <c r="CT54" s="144"/>
      <c r="CU54" s="132" t="s">
        <v>6</v>
      </c>
      <c r="CV54" s="132"/>
      <c r="CW54" s="132"/>
      <c r="CX54" s="132"/>
      <c r="CY54" s="179" t="s">
        <v>1</v>
      </c>
      <c r="CZ54" s="223">
        <f>IF(ISNUMBER(CQ54),CQ54*0.2641720523582,"")</f>
        <v>0.195487318745068</v>
      </c>
      <c r="DA54" s="223"/>
      <c r="DB54" s="223"/>
      <c r="DC54" s="223"/>
      <c r="DD54" s="164" t="s">
        <v>7</v>
      </c>
      <c r="DE54" s="164"/>
      <c r="DF54" s="164"/>
      <c r="DG54" s="43"/>
      <c r="DH54" s="183"/>
      <c r="DI54" s="19"/>
      <c r="DJ54" s="216"/>
      <c r="DK54" s="216"/>
      <c r="DL54" s="216"/>
      <c r="DM54" s="216"/>
      <c r="DN54" s="132" t="s">
        <v>74</v>
      </c>
      <c r="DO54" s="132"/>
      <c r="DP54" s="132"/>
      <c r="DQ54" s="132"/>
      <c r="DR54" s="132"/>
      <c r="DS54" s="144">
        <f>IF(AND(AV27&gt;0,AV30&gt;0,ISNUMBER(DJ54)),IF(AND(EB107&gt;0,EB110&gt;0),(PI()*(AV27/2*AV27/2)*(DJ54-EB110)/1000)+EB107,IF(EB107&gt;0,(PI()*(AV27/2*AV27/2)*DJ54/1000)+EB107,(PI()*(AV27/2*AV27/2)*DJ54/1000))),"")</f>
      </c>
      <c r="DT54" s="144"/>
      <c r="DU54" s="144"/>
      <c r="DV54" s="144"/>
      <c r="DW54" s="164" t="s">
        <v>5</v>
      </c>
      <c r="DX54" s="164"/>
      <c r="DY54" s="248">
        <f>IF(AND(ISNUMBER(DJ54),ISNUMBER(EB110)),IF(DJ54-EB110&lt;0,"!",""),"")</f>
      </c>
      <c r="DZ54" s="19"/>
      <c r="EA54" s="19"/>
      <c r="EB54" s="216"/>
      <c r="EC54" s="216"/>
      <c r="ED54" s="216"/>
      <c r="EE54" s="216"/>
      <c r="EF54" s="132" t="s">
        <v>74</v>
      </c>
      <c r="EG54" s="132"/>
      <c r="EH54" s="132"/>
      <c r="EI54" s="132"/>
      <c r="EJ54" s="132"/>
      <c r="EK54" s="144">
        <f>IF(AND(AV27&gt;0,AV30&gt;0,ISNUMBER(EB54)),IF(AND(EB107&gt;0,EB110&gt;0),(PI()*(AV27/2*AV27/2)*(-EB54+AV30-EB110)/1000)+EB107,IF(EB107&gt;0,(PI()*(AV27/2*AV27/2)*(-EB54+AV30)/1000)+EB107,(PI()*(AV27/2*AV27/2)*(-EB54+AV30)/1000))),"")</f>
      </c>
      <c r="EL54" s="144"/>
      <c r="EM54" s="144"/>
      <c r="EN54" s="144"/>
      <c r="EO54" s="164" t="s">
        <v>5</v>
      </c>
      <c r="EP54" s="164"/>
      <c r="EQ54" s="183">
        <f>IF(AND(ISNUMBER(EB54),ISNUMBER(EB110)),IF((EB54+EB110)&gt;AV30,"!",""),"")</f>
      </c>
      <c r="ER54" s="19"/>
      <c r="ES54" s="200"/>
      <c r="ET54" s="200"/>
      <c r="EU54" s="200"/>
      <c r="EV54" s="200"/>
      <c r="EW54" s="200"/>
      <c r="EX54" s="180"/>
      <c r="EY54" s="200"/>
      <c r="EZ54" s="200"/>
      <c r="FA54" s="200"/>
      <c r="FB54" s="200"/>
      <c r="FC54" s="200"/>
      <c r="FD54" s="200"/>
      <c r="FE54" s="200"/>
      <c r="FF54" s="200"/>
      <c r="FG54" s="200"/>
      <c r="FH54" s="200"/>
      <c r="FI54" s="200"/>
      <c r="FJ54" s="200"/>
      <c r="FK54" s="200"/>
      <c r="FL54" s="200"/>
      <c r="FM54" s="200"/>
      <c r="FN54" s="200"/>
      <c r="FO54" s="200"/>
      <c r="FP54" s="200"/>
      <c r="FQ54" s="200"/>
      <c r="FR54" s="200"/>
      <c r="FS54" s="200"/>
      <c r="FT54" s="200"/>
      <c r="FU54" s="64"/>
      <c r="FV54" s="201"/>
      <c r="FW54" s="201"/>
      <c r="FX54" s="201"/>
      <c r="FY54" s="201"/>
      <c r="FZ54" s="201"/>
      <c r="GA54" s="19"/>
      <c r="GB54" s="45"/>
    </row>
    <row r="55" spans="1:184" ht="7.5" customHeight="1">
      <c r="A55" s="183">
        <f>IF(ISNUMBER(EF133),"!","")</f>
      </c>
      <c r="B55" s="19"/>
      <c r="C55" s="139" t="s">
        <v>387</v>
      </c>
      <c r="D55" s="140"/>
      <c r="E55" s="140"/>
      <c r="F55" s="140"/>
      <c r="G55" s="140"/>
      <c r="H55" s="140"/>
      <c r="I55" s="140"/>
      <c r="J55" s="140"/>
      <c r="K55" s="140"/>
      <c r="L55" s="140"/>
      <c r="M55" s="135"/>
      <c r="N55" s="135"/>
      <c r="O55" s="19"/>
      <c r="P55" s="204"/>
      <c r="Q55" s="204"/>
      <c r="R55" s="204"/>
      <c r="S55" s="19"/>
      <c r="T55" s="194">
        <f>IF(P55&gt;0,P55/1.97,"")</f>
      </c>
      <c r="U55" s="194"/>
      <c r="V55" s="194"/>
      <c r="W55" s="19"/>
      <c r="X55" s="260">
        <v>5329.71</v>
      </c>
      <c r="Y55" s="261"/>
      <c r="Z55" s="261"/>
      <c r="AA55" s="261"/>
      <c r="AB55" s="19"/>
      <c r="AC55" s="144">
        <f>IF(ISNUMBER(X55),X55*0.002204622621849,"")</f>
        <v>11.749999233894835</v>
      </c>
      <c r="AD55" s="144"/>
      <c r="AE55" s="144"/>
      <c r="AF55" s="144"/>
      <c r="AG55" s="19"/>
      <c r="AH55" s="146">
        <f>IF(AND(ISNUMBER(X55),ISNUMBER($X$79)),X55/$X$79*100,"")</f>
        <v>81.71070750605045</v>
      </c>
      <c r="AI55" s="146"/>
      <c r="AJ55" s="146"/>
      <c r="AK55" s="146"/>
      <c r="AL55" s="145">
        <f>IF(OR(AW55="B",M55="B"),"B","")</f>
      </c>
      <c r="AM55" s="137"/>
      <c r="AN55" s="137"/>
      <c r="AO55" s="137"/>
      <c r="AP55" s="137"/>
      <c r="AQ55" s="137"/>
      <c r="AR55" s="137"/>
      <c r="AS55" s="137"/>
      <c r="AT55" s="137"/>
      <c r="AU55" s="137"/>
      <c r="AV55" s="137"/>
      <c r="AW55" s="138"/>
      <c r="AX55" s="138"/>
      <c r="AY55" s="130" t="str">
        <f>IF(C55&gt;0,IF(AM55&gt;0,AM55,C55),"")</f>
        <v>American - Pale 2-Row</v>
      </c>
      <c r="AZ55" s="204"/>
      <c r="BA55" s="204"/>
      <c r="BB55" s="204"/>
      <c r="BC55" s="130">
        <f>IF(P55&gt;0,IF(ISNUMBER(BD55),AZ55,P55),"")</f>
      </c>
      <c r="BD55" s="194">
        <f>IF(AZ55&gt;0,AZ55/1.97,"")</f>
      </c>
      <c r="BE55" s="194"/>
      <c r="BF55" s="194"/>
      <c r="BG55" s="130">
        <f>IF(ISNUMBER(T55),IF(ISNUMBER(BD55),BD55,T55),"")</f>
      </c>
      <c r="BH55" s="195">
        <f>IF(AND(ISNUMBER(DI164),ISNUMBER(EQ164)),DI164/EQ164*453.59237,"")</f>
        <v>2528.914926631971</v>
      </c>
      <c r="BI55" s="196"/>
      <c r="BJ55" s="196"/>
      <c r="BK55" s="196"/>
      <c r="BL55" s="70"/>
      <c r="BM55" s="224">
        <f>IF(ISNUMBER(BH55),BH55*0.002204622621849,"")</f>
        <v>5.575303055984447</v>
      </c>
      <c r="BN55" s="225"/>
      <c r="BO55" s="225"/>
      <c r="BP55" s="225"/>
      <c r="BQ55" s="19"/>
      <c r="BR55" s="194">
        <f>IF(AND(ISNUMBER(BH55),ISNUMBER($BH$79)),BH55/$BH$79*100,"")</f>
        <v>81.71070750605043</v>
      </c>
      <c r="BS55" s="194"/>
      <c r="BT55" s="194"/>
      <c r="BU55" s="194"/>
      <c r="BV55" s="19"/>
      <c r="BW55" s="183">
        <f>IF(OR(A55="!",ISNUMBER(EF164)),"!","")</f>
      </c>
      <c r="BX55" s="133">
        <f>IF(OR(AL55="",AW55="M",AW55="S"),BR55,"")</f>
        <v>81.71070750605043</v>
      </c>
      <c r="BY55" s="165"/>
      <c r="BZ55" s="165"/>
      <c r="CA55" s="165"/>
      <c r="CB55" s="165"/>
      <c r="CC55" s="165"/>
      <c r="CD55" s="165"/>
      <c r="CE55" s="165"/>
      <c r="CF55" s="165"/>
      <c r="CG55" s="165"/>
      <c r="CH55" s="165"/>
      <c r="CI55" s="165"/>
      <c r="CJ55" s="165"/>
      <c r="CK55" s="165"/>
      <c r="CL55" s="165"/>
      <c r="CM55" s="165"/>
      <c r="CN55" s="165"/>
      <c r="CO55" s="165"/>
      <c r="CP55" s="165"/>
      <c r="CQ55" s="144"/>
      <c r="CR55" s="144"/>
      <c r="CS55" s="144"/>
      <c r="CT55" s="144"/>
      <c r="CU55" s="132"/>
      <c r="CV55" s="132"/>
      <c r="CW55" s="132"/>
      <c r="CX55" s="132"/>
      <c r="CY55" s="212"/>
      <c r="CZ55" s="223"/>
      <c r="DA55" s="223"/>
      <c r="DB55" s="223"/>
      <c r="DC55" s="223"/>
      <c r="DD55" s="164"/>
      <c r="DE55" s="164"/>
      <c r="DF55" s="164"/>
      <c r="DG55" s="43"/>
      <c r="DH55" s="183"/>
      <c r="DI55" s="19"/>
      <c r="DJ55" s="216"/>
      <c r="DK55" s="216"/>
      <c r="DL55" s="216"/>
      <c r="DM55" s="216"/>
      <c r="DN55" s="132"/>
      <c r="DO55" s="132"/>
      <c r="DP55" s="132"/>
      <c r="DQ55" s="132"/>
      <c r="DR55" s="132"/>
      <c r="DS55" s="144"/>
      <c r="DT55" s="144"/>
      <c r="DU55" s="144"/>
      <c r="DV55" s="144"/>
      <c r="DW55" s="164"/>
      <c r="DX55" s="164"/>
      <c r="DY55" s="248"/>
      <c r="DZ55" s="19"/>
      <c r="EA55" s="19"/>
      <c r="EB55" s="216"/>
      <c r="EC55" s="216"/>
      <c r="ED55" s="216"/>
      <c r="EE55" s="216"/>
      <c r="EF55" s="132"/>
      <c r="EG55" s="132"/>
      <c r="EH55" s="132"/>
      <c r="EI55" s="132"/>
      <c r="EJ55" s="132"/>
      <c r="EK55" s="144"/>
      <c r="EL55" s="144"/>
      <c r="EM55" s="144"/>
      <c r="EN55" s="144"/>
      <c r="EO55" s="164"/>
      <c r="EP55" s="164"/>
      <c r="EQ55" s="183"/>
      <c r="ER55" s="19"/>
      <c r="ES55" s="200"/>
      <c r="ET55" s="200"/>
      <c r="EU55" s="200"/>
      <c r="EV55" s="200"/>
      <c r="EW55" s="200"/>
      <c r="EX55" s="18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64"/>
      <c r="FV55" s="201"/>
      <c r="FW55" s="201"/>
      <c r="FX55" s="201"/>
      <c r="FY55" s="201"/>
      <c r="FZ55" s="201"/>
      <c r="GA55" s="19"/>
      <c r="GB55" s="45"/>
    </row>
    <row r="56" spans="1:184" ht="7.5" customHeight="1" thickBot="1">
      <c r="A56" s="183"/>
      <c r="B56" s="19"/>
      <c r="C56" s="141"/>
      <c r="D56" s="142"/>
      <c r="E56" s="142"/>
      <c r="F56" s="142"/>
      <c r="G56" s="142"/>
      <c r="H56" s="142"/>
      <c r="I56" s="142"/>
      <c r="J56" s="142"/>
      <c r="K56" s="142"/>
      <c r="L56" s="142"/>
      <c r="M56" s="136"/>
      <c r="N56" s="136"/>
      <c r="O56" s="19"/>
      <c r="P56" s="204"/>
      <c r="Q56" s="204"/>
      <c r="R56" s="204"/>
      <c r="S56" s="19"/>
      <c r="T56" s="194"/>
      <c r="U56" s="194"/>
      <c r="V56" s="194"/>
      <c r="W56" s="19"/>
      <c r="X56" s="262"/>
      <c r="Y56" s="263"/>
      <c r="Z56" s="263"/>
      <c r="AA56" s="263"/>
      <c r="AB56" s="19"/>
      <c r="AC56" s="144"/>
      <c r="AD56" s="144"/>
      <c r="AE56" s="144"/>
      <c r="AF56" s="144"/>
      <c r="AG56" s="19"/>
      <c r="AH56" s="146"/>
      <c r="AI56" s="146"/>
      <c r="AJ56" s="146"/>
      <c r="AK56" s="146"/>
      <c r="AL56" s="145"/>
      <c r="AM56" s="137"/>
      <c r="AN56" s="137"/>
      <c r="AO56" s="137"/>
      <c r="AP56" s="137"/>
      <c r="AQ56" s="137"/>
      <c r="AR56" s="137"/>
      <c r="AS56" s="137"/>
      <c r="AT56" s="137"/>
      <c r="AU56" s="137"/>
      <c r="AV56" s="137"/>
      <c r="AW56" s="138"/>
      <c r="AX56" s="138"/>
      <c r="AY56" s="130"/>
      <c r="AZ56" s="204"/>
      <c r="BA56" s="204"/>
      <c r="BB56" s="204"/>
      <c r="BC56" s="130"/>
      <c r="BD56" s="194"/>
      <c r="BE56" s="194"/>
      <c r="BF56" s="194"/>
      <c r="BG56" s="130"/>
      <c r="BH56" s="197"/>
      <c r="BI56" s="198"/>
      <c r="BJ56" s="198"/>
      <c r="BK56" s="198"/>
      <c r="BL56" s="70"/>
      <c r="BM56" s="226"/>
      <c r="BN56" s="227"/>
      <c r="BO56" s="227"/>
      <c r="BP56" s="227"/>
      <c r="BQ56" s="19"/>
      <c r="BR56" s="194"/>
      <c r="BS56" s="194"/>
      <c r="BT56" s="194"/>
      <c r="BU56" s="194"/>
      <c r="BV56" s="19"/>
      <c r="BW56" s="183"/>
      <c r="BX56" s="133"/>
      <c r="BY56" s="19"/>
      <c r="BZ56" s="19"/>
      <c r="CA56" s="19"/>
      <c r="CB56" s="19"/>
      <c r="CC56" s="19"/>
      <c r="CD56" s="19"/>
      <c r="CE56" s="19"/>
      <c r="CF56" s="19"/>
      <c r="CG56" s="19"/>
      <c r="CH56" s="19"/>
      <c r="CI56" s="19"/>
      <c r="CJ56" s="19"/>
      <c r="CK56" s="19"/>
      <c r="CL56" s="19"/>
      <c r="CM56" s="19"/>
      <c r="CN56" s="19"/>
      <c r="CO56" s="19"/>
      <c r="CP56" s="19"/>
      <c r="CQ56" s="42"/>
      <c r="CR56" s="42"/>
      <c r="CS56" s="42"/>
      <c r="CT56" s="42"/>
      <c r="CU56" s="19"/>
      <c r="CV56" s="19"/>
      <c r="CW56" s="19"/>
      <c r="CX56" s="19"/>
      <c r="CY56" s="19"/>
      <c r="CZ56" s="42"/>
      <c r="DA56" s="42"/>
      <c r="DB56" s="42"/>
      <c r="DC56" s="42"/>
      <c r="DD56" s="19"/>
      <c r="DE56" s="19"/>
      <c r="DF56" s="19"/>
      <c r="DG56" s="43"/>
      <c r="DH56" s="43"/>
      <c r="DI56" s="19"/>
      <c r="DJ56" s="19"/>
      <c r="DK56" s="19"/>
      <c r="DL56" s="19"/>
      <c r="DM56" s="19"/>
      <c r="DN56" s="19"/>
      <c r="DO56" s="19"/>
      <c r="DP56" s="19"/>
      <c r="DQ56" s="19"/>
      <c r="DR56" s="19"/>
      <c r="DS56" s="42"/>
      <c r="DT56" s="42"/>
      <c r="DU56" s="42"/>
      <c r="DV56" s="42"/>
      <c r="DW56" s="19"/>
      <c r="DX56" s="19"/>
      <c r="DY56" s="19"/>
      <c r="DZ56" s="19"/>
      <c r="EA56" s="19"/>
      <c r="EB56" s="19"/>
      <c r="EC56" s="19"/>
      <c r="ED56" s="19"/>
      <c r="EE56" s="19"/>
      <c r="EF56" s="19"/>
      <c r="EG56" s="19"/>
      <c r="EH56" s="19"/>
      <c r="EI56" s="19"/>
      <c r="EJ56" s="19"/>
      <c r="EK56" s="42"/>
      <c r="EL56" s="42"/>
      <c r="EM56" s="42"/>
      <c r="EN56" s="42"/>
      <c r="EO56" s="19"/>
      <c r="EP56" s="19"/>
      <c r="EQ56" s="43"/>
      <c r="ER56" s="67"/>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19"/>
      <c r="GB56" s="45"/>
    </row>
    <row r="57" spans="1:184" ht="7.5" customHeight="1" thickBot="1">
      <c r="A57" s="72"/>
      <c r="B57" s="19"/>
      <c r="C57" s="19"/>
      <c r="D57" s="19"/>
      <c r="E57" s="19"/>
      <c r="F57" s="19"/>
      <c r="G57" s="19"/>
      <c r="H57" s="19"/>
      <c r="I57" s="19"/>
      <c r="J57" s="19"/>
      <c r="K57" s="19"/>
      <c r="L57" s="19"/>
      <c r="M57" s="19"/>
      <c r="N57" s="19"/>
      <c r="O57" s="19"/>
      <c r="P57" s="64"/>
      <c r="Q57" s="64"/>
      <c r="R57" s="64"/>
      <c r="S57" s="19"/>
      <c r="T57" s="66"/>
      <c r="U57" s="66"/>
      <c r="V57" s="66"/>
      <c r="W57" s="19"/>
      <c r="X57" s="73"/>
      <c r="Y57" s="73"/>
      <c r="Z57" s="73"/>
      <c r="AA57" s="73"/>
      <c r="AB57" s="19"/>
      <c r="AC57" s="19"/>
      <c r="AD57" s="19"/>
      <c r="AE57" s="19"/>
      <c r="AF57" s="19"/>
      <c r="AG57" s="19"/>
      <c r="AH57" s="66"/>
      <c r="AI57" s="66"/>
      <c r="AJ57" s="66"/>
      <c r="AK57" s="66"/>
      <c r="AL57" s="127"/>
      <c r="AM57" s="19"/>
      <c r="AN57" s="19"/>
      <c r="AO57" s="19"/>
      <c r="AP57" s="19"/>
      <c r="AQ57" s="19"/>
      <c r="AR57" s="19"/>
      <c r="AS57" s="19"/>
      <c r="AT57" s="19"/>
      <c r="AU57" s="19"/>
      <c r="AV57" s="19"/>
      <c r="AW57" s="19"/>
      <c r="AX57" s="19"/>
      <c r="AY57" s="74"/>
      <c r="AZ57" s="64"/>
      <c r="BA57" s="64"/>
      <c r="BB57" s="64"/>
      <c r="BC57" s="74"/>
      <c r="BD57" s="66"/>
      <c r="BE57" s="66"/>
      <c r="BF57" s="66"/>
      <c r="BG57" s="74"/>
      <c r="BH57" s="75"/>
      <c r="BI57" s="75"/>
      <c r="BJ57" s="75"/>
      <c r="BK57" s="75"/>
      <c r="BL57" s="70"/>
      <c r="BM57" s="76"/>
      <c r="BN57" s="76"/>
      <c r="BO57" s="76"/>
      <c r="BP57" s="76"/>
      <c r="BQ57" s="19"/>
      <c r="BR57" s="66"/>
      <c r="BS57" s="66"/>
      <c r="BT57" s="66"/>
      <c r="BU57" s="66"/>
      <c r="BV57" s="19"/>
      <c r="BW57" s="72"/>
      <c r="BX57" s="51"/>
      <c r="BY57" s="170" t="s">
        <v>20</v>
      </c>
      <c r="BZ57" s="170"/>
      <c r="CA57" s="170"/>
      <c r="CB57" s="170"/>
      <c r="CC57" s="170"/>
      <c r="CD57" s="170"/>
      <c r="CE57" s="170"/>
      <c r="CF57" s="170"/>
      <c r="CG57" s="170"/>
      <c r="CH57" s="170"/>
      <c r="CI57" s="170"/>
      <c r="CJ57" s="170"/>
      <c r="CK57" s="170"/>
      <c r="CL57" s="170"/>
      <c r="CM57" s="170"/>
      <c r="CN57" s="170"/>
      <c r="CO57" s="170"/>
      <c r="CP57" s="170"/>
      <c r="CQ57" s="224">
        <f>IF(ISNUMBER(CQ51),CQ51-CQ54,"")</f>
        <v>9.26</v>
      </c>
      <c r="CR57" s="225"/>
      <c r="CS57" s="225"/>
      <c r="CT57" s="225"/>
      <c r="CU57" s="143" t="s">
        <v>6</v>
      </c>
      <c r="CV57" s="143"/>
      <c r="CW57" s="143"/>
      <c r="CX57" s="143"/>
      <c r="CY57" s="152" t="s">
        <v>1</v>
      </c>
      <c r="CZ57" s="150">
        <f>IF(ISNUMBER(CQ57),CQ57*0.2641720523582,"")</f>
        <v>2.446233204836932</v>
      </c>
      <c r="DA57" s="150"/>
      <c r="DB57" s="150"/>
      <c r="DC57" s="150"/>
      <c r="DD57" s="229" t="s">
        <v>7</v>
      </c>
      <c r="DE57" s="229"/>
      <c r="DF57" s="229"/>
      <c r="DG57" s="43"/>
      <c r="DH57" s="184"/>
      <c r="DI57" s="19"/>
      <c r="DJ57" s="222"/>
      <c r="DK57" s="222"/>
      <c r="DL57" s="222"/>
      <c r="DM57" s="222"/>
      <c r="DN57" s="132" t="s">
        <v>50</v>
      </c>
      <c r="DO57" s="132"/>
      <c r="DP57" s="132"/>
      <c r="DQ57" s="132"/>
      <c r="DR57" s="132"/>
      <c r="DS57" s="144">
        <f>IF(AND(AV27&gt;0,AV30&gt;0,ISNUMBER(DJ57)),IF(AND(EB107&gt;0,EB110&gt;0),((PI()*(AV27/2*AV27/2)*(DJ57*2.54-EB110)/1000)+EB107)*0.2641720523582,IF(EB107&gt;0,((PI()*(AV27/2*AV27/2)*DJ57*2.54/1000)+EB107)*0.2641720523582,(PI()*(AV27/2*AV27/2)*DJ57*2.54/1000*0.2641720523582))),"")</f>
      </c>
      <c r="DT57" s="144"/>
      <c r="DU57" s="144"/>
      <c r="DV57" s="144"/>
      <c r="DW57" s="164" t="s">
        <v>51</v>
      </c>
      <c r="DX57" s="164"/>
      <c r="DY57" s="248">
        <f>IF(AND(ISNUMBER(DJ57),ISNUMBER(EJ110)),IF(DJ57-EJ110&lt;0,"!",""),"")</f>
      </c>
      <c r="DZ57" s="19"/>
      <c r="EA57" s="19"/>
      <c r="EB57" s="222"/>
      <c r="EC57" s="222"/>
      <c r="ED57" s="222"/>
      <c r="EE57" s="222"/>
      <c r="EF57" s="132" t="s">
        <v>50</v>
      </c>
      <c r="EG57" s="132"/>
      <c r="EH57" s="132"/>
      <c r="EI57" s="132"/>
      <c r="EJ57" s="132"/>
      <c r="EK57" s="144">
        <f>IF(AND(AV27&gt;0,AV30&gt;0,ISNUMBER(EB57)),IF(AND(EB107&gt;0,EB110&gt;0),((PI()*(AV27/2*AV27/2)*(-EB57*2.54+AV30-EB110)/1000)+EB107)*0.2641720523582,IF(EB107&gt;0,((PI()*(AV27/2*AV27/2)*(-EB57*2.54+AV30)/1000)+EB107)*0.2641720523582,(PI()*(AV27/2*AV27/2)*(-EB57*2.54+AV30)/1000*0.2641720523582))),"")</f>
      </c>
      <c r="EL57" s="144"/>
      <c r="EM57" s="144"/>
      <c r="EN57" s="144"/>
      <c r="EO57" s="164" t="s">
        <v>51</v>
      </c>
      <c r="EP57" s="164"/>
      <c r="EQ57" s="183">
        <f>IF(AND(ISNUMBER(EB57),ISNUMBER(EJ110)),IF((EB57+EJ110)&gt;BC30,"!",""),"")</f>
      </c>
      <c r="ER57" s="19"/>
      <c r="ES57" s="200"/>
      <c r="ET57" s="200"/>
      <c r="EU57" s="200"/>
      <c r="EV57" s="200"/>
      <c r="EW57" s="200"/>
      <c r="EX57" s="18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64"/>
      <c r="FV57" s="201"/>
      <c r="FW57" s="201"/>
      <c r="FX57" s="201"/>
      <c r="FY57" s="201"/>
      <c r="FZ57" s="201"/>
      <c r="GA57" s="19"/>
      <c r="GB57" s="45"/>
    </row>
    <row r="58" spans="1:184" ht="7.5" customHeight="1">
      <c r="A58" s="183">
        <f>IF(ISNUMBER(EF136),"!","")</f>
      </c>
      <c r="B58" s="19"/>
      <c r="C58" s="139" t="s">
        <v>390</v>
      </c>
      <c r="D58" s="140"/>
      <c r="E58" s="140"/>
      <c r="F58" s="140"/>
      <c r="G58" s="140"/>
      <c r="H58" s="140"/>
      <c r="I58" s="140"/>
      <c r="J58" s="140"/>
      <c r="K58" s="140"/>
      <c r="L58" s="140"/>
      <c r="M58" s="135"/>
      <c r="N58" s="135"/>
      <c r="O58" s="19"/>
      <c r="P58" s="204"/>
      <c r="Q58" s="204"/>
      <c r="R58" s="204"/>
      <c r="S58" s="19"/>
      <c r="T58" s="194">
        <f>IF(P58&gt;0,P58/1.97,"")</f>
      </c>
      <c r="U58" s="194"/>
      <c r="V58" s="194"/>
      <c r="W58" s="19"/>
      <c r="X58" s="260">
        <v>512.5594</v>
      </c>
      <c r="Y58" s="261"/>
      <c r="Z58" s="261"/>
      <c r="AA58" s="261"/>
      <c r="AB58" s="19"/>
      <c r="AC58" s="144">
        <f>IF(ISNUMBER(X58),X58*0.002204622621849,"")</f>
        <v>1.1300000482813504</v>
      </c>
      <c r="AD58" s="144"/>
      <c r="AE58" s="144"/>
      <c r="AF58" s="144"/>
      <c r="AG58" s="19"/>
      <c r="AH58" s="146">
        <f>IF(AND(ISNUMBER(X58),ISNUMBER($X$79)),X58/$X$79*100,"")</f>
        <v>7.858136974221246</v>
      </c>
      <c r="AI58" s="146"/>
      <c r="AJ58" s="146"/>
      <c r="AK58" s="146"/>
      <c r="AL58" s="145">
        <f>IF(OR(AW58="B",M58="B"),"B","")</f>
      </c>
      <c r="AM58" s="137"/>
      <c r="AN58" s="137"/>
      <c r="AO58" s="137"/>
      <c r="AP58" s="137"/>
      <c r="AQ58" s="137"/>
      <c r="AR58" s="137"/>
      <c r="AS58" s="137"/>
      <c r="AT58" s="137"/>
      <c r="AU58" s="137"/>
      <c r="AV58" s="137"/>
      <c r="AW58" s="138"/>
      <c r="AX58" s="138"/>
      <c r="AY58" s="130" t="str">
        <f>IF(C58&gt;0,IF(AM58&gt;0,AM58,C58),"")</f>
        <v>Am - Munich - Light 10L</v>
      </c>
      <c r="AZ58" s="204"/>
      <c r="BA58" s="204"/>
      <c r="BB58" s="204"/>
      <c r="BC58" s="130">
        <f>IF(P58&gt;0,IF(ISNUMBER(BD58),AZ58,P58),"")</f>
      </c>
      <c r="BD58" s="194">
        <f>IF(AZ58&gt;0,AZ58/1.97,"")</f>
      </c>
      <c r="BE58" s="194"/>
      <c r="BF58" s="194"/>
      <c r="BG58" s="130">
        <f>IF(ISNUMBER(T58),IF(ISNUMBER(BD58),BD58,T58),"")</f>
      </c>
      <c r="BH58" s="195">
        <f>IF(AND(ISNUMBER(DI167),ISNUMBER(EQ167)),DI167/EQ167*453.59237,"")</f>
        <v>243.20631280980143</v>
      </c>
      <c r="BI58" s="196"/>
      <c r="BJ58" s="196"/>
      <c r="BK58" s="196"/>
      <c r="BL58" s="70"/>
      <c r="BM58" s="224">
        <f>IF(ISNUMBER(BH58),BH58*0.002204622621849,"")</f>
        <v>0.5361781389969725</v>
      </c>
      <c r="BN58" s="225"/>
      <c r="BO58" s="225"/>
      <c r="BP58" s="225"/>
      <c r="BQ58" s="19"/>
      <c r="BR58" s="194">
        <f>IF(AND(ISNUMBER(BH58),ISNUMBER($BH$79)),BH58/$BH$79*100,"")</f>
        <v>7.858136974221243</v>
      </c>
      <c r="BS58" s="194"/>
      <c r="BT58" s="194"/>
      <c r="BU58" s="194"/>
      <c r="BV58" s="19"/>
      <c r="BW58" s="183">
        <f>IF(OR(A58="!",ISNUMBER(EF167)),"!","")</f>
      </c>
      <c r="BX58" s="133">
        <f>IF(OR(AL58="",AW58="M",AW58="S"),BR58,"")</f>
        <v>7.858136974221243</v>
      </c>
      <c r="BY58" s="170"/>
      <c r="BZ58" s="170"/>
      <c r="CA58" s="170"/>
      <c r="CB58" s="170"/>
      <c r="CC58" s="170"/>
      <c r="CD58" s="170"/>
      <c r="CE58" s="170"/>
      <c r="CF58" s="170"/>
      <c r="CG58" s="170"/>
      <c r="CH58" s="170"/>
      <c r="CI58" s="170"/>
      <c r="CJ58" s="170"/>
      <c r="CK58" s="170"/>
      <c r="CL58" s="170"/>
      <c r="CM58" s="170"/>
      <c r="CN58" s="170"/>
      <c r="CO58" s="170"/>
      <c r="CP58" s="170"/>
      <c r="CQ58" s="226"/>
      <c r="CR58" s="227"/>
      <c r="CS58" s="227"/>
      <c r="CT58" s="227"/>
      <c r="CU58" s="143"/>
      <c r="CV58" s="143"/>
      <c r="CW58" s="143"/>
      <c r="CX58" s="143"/>
      <c r="CY58" s="242"/>
      <c r="CZ58" s="150"/>
      <c r="DA58" s="150"/>
      <c r="DB58" s="150"/>
      <c r="DC58" s="150"/>
      <c r="DD58" s="229"/>
      <c r="DE58" s="229"/>
      <c r="DF58" s="229"/>
      <c r="DG58" s="43"/>
      <c r="DH58" s="184"/>
      <c r="DI58" s="19"/>
      <c r="DJ58" s="222"/>
      <c r="DK58" s="222"/>
      <c r="DL58" s="222"/>
      <c r="DM58" s="222"/>
      <c r="DN58" s="132"/>
      <c r="DO58" s="132"/>
      <c r="DP58" s="132"/>
      <c r="DQ58" s="132"/>
      <c r="DR58" s="132"/>
      <c r="DS58" s="144"/>
      <c r="DT58" s="144"/>
      <c r="DU58" s="144"/>
      <c r="DV58" s="144"/>
      <c r="DW58" s="164"/>
      <c r="DX58" s="164"/>
      <c r="DY58" s="248"/>
      <c r="DZ58" s="19"/>
      <c r="EA58" s="19"/>
      <c r="EB58" s="222"/>
      <c r="EC58" s="222"/>
      <c r="ED58" s="222"/>
      <c r="EE58" s="222"/>
      <c r="EF58" s="132"/>
      <c r="EG58" s="132"/>
      <c r="EH58" s="132"/>
      <c r="EI58" s="132"/>
      <c r="EJ58" s="132"/>
      <c r="EK58" s="144"/>
      <c r="EL58" s="144"/>
      <c r="EM58" s="144"/>
      <c r="EN58" s="144"/>
      <c r="EO58" s="164"/>
      <c r="EP58" s="164"/>
      <c r="EQ58" s="183"/>
      <c r="ER58" s="19"/>
      <c r="ES58" s="200"/>
      <c r="ET58" s="200"/>
      <c r="EU58" s="200"/>
      <c r="EV58" s="200"/>
      <c r="EW58" s="200"/>
      <c r="EX58" s="18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64"/>
      <c r="FV58" s="201"/>
      <c r="FW58" s="201"/>
      <c r="FX58" s="201"/>
      <c r="FY58" s="201"/>
      <c r="FZ58" s="201"/>
      <c r="GA58" s="19"/>
      <c r="GB58" s="45"/>
    </row>
    <row r="59" spans="1:184" ht="7.5" customHeight="1">
      <c r="A59" s="183"/>
      <c r="B59" s="19"/>
      <c r="C59" s="141"/>
      <c r="D59" s="142"/>
      <c r="E59" s="142"/>
      <c r="F59" s="142"/>
      <c r="G59" s="142"/>
      <c r="H59" s="142"/>
      <c r="I59" s="142"/>
      <c r="J59" s="142"/>
      <c r="K59" s="142"/>
      <c r="L59" s="142"/>
      <c r="M59" s="136"/>
      <c r="N59" s="136"/>
      <c r="O59" s="19"/>
      <c r="P59" s="204"/>
      <c r="Q59" s="204"/>
      <c r="R59" s="204"/>
      <c r="S59" s="19"/>
      <c r="T59" s="194"/>
      <c r="U59" s="194"/>
      <c r="V59" s="194"/>
      <c r="W59" s="19"/>
      <c r="X59" s="262"/>
      <c r="Y59" s="263"/>
      <c r="Z59" s="263"/>
      <c r="AA59" s="263"/>
      <c r="AB59" s="19"/>
      <c r="AC59" s="144"/>
      <c r="AD59" s="144"/>
      <c r="AE59" s="144"/>
      <c r="AF59" s="144"/>
      <c r="AG59" s="19"/>
      <c r="AH59" s="146"/>
      <c r="AI59" s="146"/>
      <c r="AJ59" s="146"/>
      <c r="AK59" s="146"/>
      <c r="AL59" s="145"/>
      <c r="AM59" s="137"/>
      <c r="AN59" s="137"/>
      <c r="AO59" s="137"/>
      <c r="AP59" s="137"/>
      <c r="AQ59" s="137"/>
      <c r="AR59" s="137"/>
      <c r="AS59" s="137"/>
      <c r="AT59" s="137"/>
      <c r="AU59" s="137"/>
      <c r="AV59" s="137"/>
      <c r="AW59" s="138"/>
      <c r="AX59" s="138"/>
      <c r="AY59" s="130"/>
      <c r="AZ59" s="204"/>
      <c r="BA59" s="204"/>
      <c r="BB59" s="204"/>
      <c r="BC59" s="130"/>
      <c r="BD59" s="194"/>
      <c r="BE59" s="194"/>
      <c r="BF59" s="194"/>
      <c r="BG59" s="130"/>
      <c r="BH59" s="197"/>
      <c r="BI59" s="198"/>
      <c r="BJ59" s="198"/>
      <c r="BK59" s="198"/>
      <c r="BL59" s="70"/>
      <c r="BM59" s="226"/>
      <c r="BN59" s="227"/>
      <c r="BO59" s="227"/>
      <c r="BP59" s="227"/>
      <c r="BQ59" s="19"/>
      <c r="BR59" s="194"/>
      <c r="BS59" s="194"/>
      <c r="BT59" s="194"/>
      <c r="BU59" s="194"/>
      <c r="BV59" s="19"/>
      <c r="BW59" s="183"/>
      <c r="BX59" s="133"/>
      <c r="BY59" s="295">
        <f>IF(AND(ISNUMBER(EA64),EA64&gt;0),"Full Volume Variations have been made - See  Sect W.","")</f>
      </c>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5"/>
      <c r="CX59" s="295"/>
      <c r="CY59" s="295"/>
      <c r="CZ59" s="295"/>
      <c r="DA59" s="295"/>
      <c r="DB59" s="295"/>
      <c r="DC59" s="295"/>
      <c r="DD59" s="295"/>
      <c r="DE59" s="295"/>
      <c r="DF59" s="295"/>
      <c r="DG59" s="58"/>
      <c r="DH59" s="58"/>
      <c r="DI59" s="248">
        <f>IF(OR(DX48="!",EP48="!",DY54="!",DY57="!",EQ54="!",EQ57="!"),"! Volume cannot be measured accurately at this depth/height.","")</f>
      </c>
      <c r="DJ59" s="248"/>
      <c r="DK59" s="248"/>
      <c r="DL59" s="248"/>
      <c r="DM59" s="248"/>
      <c r="DN59" s="248"/>
      <c r="DO59" s="248"/>
      <c r="DP59" s="248"/>
      <c r="DQ59" s="248"/>
      <c r="DR59" s="248"/>
      <c r="DS59" s="248"/>
      <c r="DT59" s="248"/>
      <c r="DU59" s="248"/>
      <c r="DV59" s="248"/>
      <c r="DW59" s="248"/>
      <c r="DX59" s="248"/>
      <c r="DY59" s="248"/>
      <c r="DZ59" s="248"/>
      <c r="EA59" s="248"/>
      <c r="EB59" s="248"/>
      <c r="EC59" s="248"/>
      <c r="ED59" s="248"/>
      <c r="EE59" s="248"/>
      <c r="EF59" s="248"/>
      <c r="EG59" s="248"/>
      <c r="EH59" s="248"/>
      <c r="EI59" s="248"/>
      <c r="EJ59" s="248"/>
      <c r="EK59" s="248"/>
      <c r="EL59" s="248"/>
      <c r="EM59" s="248"/>
      <c r="EN59" s="248"/>
      <c r="EO59" s="248"/>
      <c r="EP59" s="248"/>
      <c r="EQ59" s="43"/>
      <c r="ER59" s="67"/>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19"/>
      <c r="GB59" s="45"/>
    </row>
    <row r="60" spans="1:184" ht="7.5" customHeight="1" thickBot="1">
      <c r="A60" s="72"/>
      <c r="B60" s="19"/>
      <c r="C60" s="19"/>
      <c r="D60" s="19"/>
      <c r="E60" s="19"/>
      <c r="F60" s="19"/>
      <c r="G60" s="19"/>
      <c r="H60" s="19"/>
      <c r="I60" s="19"/>
      <c r="J60" s="19"/>
      <c r="K60" s="19"/>
      <c r="L60" s="19"/>
      <c r="M60" s="19"/>
      <c r="N60" s="19"/>
      <c r="O60" s="19"/>
      <c r="P60" s="64"/>
      <c r="Q60" s="64"/>
      <c r="R60" s="64"/>
      <c r="S60" s="19"/>
      <c r="T60" s="66"/>
      <c r="U60" s="66"/>
      <c r="V60" s="66"/>
      <c r="W60" s="19"/>
      <c r="X60" s="73"/>
      <c r="Y60" s="73"/>
      <c r="Z60" s="73"/>
      <c r="AA60" s="73"/>
      <c r="AB60" s="19"/>
      <c r="AC60" s="19"/>
      <c r="AD60" s="19"/>
      <c r="AE60" s="19"/>
      <c r="AF60" s="19"/>
      <c r="AG60" s="19"/>
      <c r="AH60" s="66"/>
      <c r="AI60" s="66"/>
      <c r="AJ60" s="66"/>
      <c r="AK60" s="66"/>
      <c r="AL60" s="127"/>
      <c r="AM60" s="19"/>
      <c r="AN60" s="19"/>
      <c r="AO60" s="19"/>
      <c r="AP60" s="19"/>
      <c r="AQ60" s="19"/>
      <c r="AR60" s="19"/>
      <c r="AS60" s="19"/>
      <c r="AT60" s="19"/>
      <c r="AU60" s="19"/>
      <c r="AV60" s="19"/>
      <c r="AW60" s="19"/>
      <c r="AX60" s="19"/>
      <c r="AY60" s="74"/>
      <c r="AZ60" s="64"/>
      <c r="BA60" s="64"/>
      <c r="BB60" s="64"/>
      <c r="BC60" s="74"/>
      <c r="BD60" s="66"/>
      <c r="BE60" s="66"/>
      <c r="BF60" s="66"/>
      <c r="BG60" s="74"/>
      <c r="BH60" s="75"/>
      <c r="BI60" s="75"/>
      <c r="BJ60" s="75"/>
      <c r="BK60" s="75"/>
      <c r="BL60" s="70"/>
      <c r="BM60" s="76"/>
      <c r="BN60" s="76"/>
      <c r="BO60" s="76"/>
      <c r="BP60" s="76"/>
      <c r="BQ60" s="19"/>
      <c r="BR60" s="66"/>
      <c r="BS60" s="66"/>
      <c r="BT60" s="66"/>
      <c r="BU60" s="66"/>
      <c r="BV60" s="19"/>
      <c r="BW60" s="72"/>
      <c r="BX60" s="51"/>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58"/>
      <c r="DH60" s="58"/>
      <c r="DI60" s="248"/>
      <c r="DJ60" s="248"/>
      <c r="DK60" s="248"/>
      <c r="DL60" s="248"/>
      <c r="DM60" s="248"/>
      <c r="DN60" s="248"/>
      <c r="DO60" s="248"/>
      <c r="DP60" s="248"/>
      <c r="DQ60" s="248"/>
      <c r="DR60" s="248"/>
      <c r="DS60" s="248"/>
      <c r="DT60" s="248"/>
      <c r="DU60" s="248"/>
      <c r="DV60" s="248"/>
      <c r="DW60" s="248"/>
      <c r="DX60" s="248"/>
      <c r="DY60" s="248"/>
      <c r="DZ60" s="248"/>
      <c r="EA60" s="248"/>
      <c r="EB60" s="248"/>
      <c r="EC60" s="248"/>
      <c r="ED60" s="248"/>
      <c r="EE60" s="248"/>
      <c r="EF60" s="248"/>
      <c r="EG60" s="248"/>
      <c r="EH60" s="248"/>
      <c r="EI60" s="248"/>
      <c r="EJ60" s="248"/>
      <c r="EK60" s="248"/>
      <c r="EL60" s="248"/>
      <c r="EM60" s="248"/>
      <c r="EN60" s="248"/>
      <c r="EO60" s="248"/>
      <c r="EP60" s="248"/>
      <c r="EQ60" s="43"/>
      <c r="ER60" s="19"/>
      <c r="ES60" s="200"/>
      <c r="ET60" s="200"/>
      <c r="EU60" s="200"/>
      <c r="EV60" s="200"/>
      <c r="EW60" s="200"/>
      <c r="EX60" s="180"/>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64"/>
      <c r="FV60" s="201"/>
      <c r="FW60" s="201"/>
      <c r="FX60" s="201"/>
      <c r="FY60" s="201"/>
      <c r="FZ60" s="201"/>
      <c r="GA60" s="19"/>
      <c r="GB60" s="45"/>
    </row>
    <row r="61" spans="1:184" ht="7.5" customHeight="1">
      <c r="A61" s="183">
        <f>IF(ISNUMBER(EF139),"!","")</f>
      </c>
      <c r="B61" s="19"/>
      <c r="C61" s="139" t="s">
        <v>388</v>
      </c>
      <c r="D61" s="140"/>
      <c r="E61" s="140"/>
      <c r="F61" s="140"/>
      <c r="G61" s="140"/>
      <c r="H61" s="140"/>
      <c r="I61" s="140"/>
      <c r="J61" s="140"/>
      <c r="K61" s="140"/>
      <c r="L61" s="140"/>
      <c r="M61" s="135"/>
      <c r="N61" s="135"/>
      <c r="O61" s="19"/>
      <c r="P61" s="204"/>
      <c r="Q61" s="204"/>
      <c r="R61" s="204"/>
      <c r="S61" s="19"/>
      <c r="T61" s="194">
        <f>IF(P61&gt;0,P61/1.97,"")</f>
      </c>
      <c r="U61" s="194"/>
      <c r="V61" s="194"/>
      <c r="W61" s="19"/>
      <c r="X61" s="260">
        <v>226.7962</v>
      </c>
      <c r="Y61" s="261"/>
      <c r="Z61" s="261"/>
      <c r="AA61" s="261"/>
      <c r="AB61" s="19"/>
      <c r="AC61" s="144">
        <f>IF(ISNUMBER(X61),X61*0.002204622621849,"")</f>
        <v>0.5000000330693902</v>
      </c>
      <c r="AD61" s="144"/>
      <c r="AE61" s="144"/>
      <c r="AF61" s="144"/>
      <c r="AG61" s="19"/>
      <c r="AH61" s="146">
        <f>IF(AND(ISNUMBER(X61),ISNUMBER($X$79)),X61/$X$79*100,"")</f>
        <v>3.477051839909436</v>
      </c>
      <c r="AI61" s="146"/>
      <c r="AJ61" s="146"/>
      <c r="AK61" s="146"/>
      <c r="AL61" s="145">
        <f>IF(OR(AW61="B",M61="B"),"B","")</f>
      </c>
      <c r="AM61" s="137"/>
      <c r="AN61" s="137"/>
      <c r="AO61" s="137"/>
      <c r="AP61" s="137"/>
      <c r="AQ61" s="137"/>
      <c r="AR61" s="137"/>
      <c r="AS61" s="137"/>
      <c r="AT61" s="137"/>
      <c r="AU61" s="137"/>
      <c r="AV61" s="137"/>
      <c r="AW61" s="138"/>
      <c r="AX61" s="138"/>
      <c r="AY61" s="130" t="str">
        <f>IF(C61&gt;0,IF(AM61&gt;0,AM61,C61),"")</f>
        <v>German - CaraFoam</v>
      </c>
      <c r="AZ61" s="204"/>
      <c r="BA61" s="204"/>
      <c r="BB61" s="204"/>
      <c r="BC61" s="130">
        <f>IF(P61&gt;0,IF(ISNUMBER(BD61),AZ61,P61),"")</f>
      </c>
      <c r="BD61" s="194">
        <f>IF(AZ61&gt;0,AZ61/1.97,"")</f>
      </c>
      <c r="BE61" s="194"/>
      <c r="BF61" s="194"/>
      <c r="BG61" s="130">
        <f>IF(ISNUMBER(T61),IF(ISNUMBER(BD61),BD61,T61),"")</f>
      </c>
      <c r="BH61" s="195">
        <f>IF(AND(ISNUMBER(DI170),ISNUMBER(EQ170)),DI170/EQ170*453.59237,"")</f>
        <v>107.61341526713642</v>
      </c>
      <c r="BI61" s="196"/>
      <c r="BJ61" s="196"/>
      <c r="BK61" s="196"/>
      <c r="BL61" s="70"/>
      <c r="BM61" s="224">
        <f>IF(ISNUMBER(BH61),BH61*0.002204622621849,"")</f>
        <v>0.2372469697123595</v>
      </c>
      <c r="BN61" s="225"/>
      <c r="BO61" s="225"/>
      <c r="BP61" s="225"/>
      <c r="BQ61" s="19"/>
      <c r="BR61" s="194">
        <f>IF(AND(ISNUMBER(BH61),ISNUMBER($BH$79)),BH61/$BH$79*100,"")</f>
        <v>3.477051839909434</v>
      </c>
      <c r="BS61" s="194"/>
      <c r="BT61" s="194"/>
      <c r="BU61" s="194"/>
      <c r="BV61" s="19"/>
      <c r="BW61" s="183">
        <f>IF(OR(A61="!",ISNUMBER(EF170)),"!","")</f>
      </c>
      <c r="BX61" s="133">
        <f>IF(OR(AL61="",AW61="M",AW61="S"),BR61,"")</f>
        <v>3.477051839909434</v>
      </c>
      <c r="BY61" s="158" t="s">
        <v>244</v>
      </c>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5" t="s">
        <v>91</v>
      </c>
      <c r="DF61" s="156"/>
      <c r="DG61" s="43"/>
      <c r="DH61" s="43"/>
      <c r="DI61" s="158" t="s">
        <v>339</v>
      </c>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5" t="s">
        <v>91</v>
      </c>
      <c r="EP61" s="156"/>
      <c r="EQ61" s="43"/>
      <c r="ER61" s="19"/>
      <c r="ES61" s="200"/>
      <c r="ET61" s="200"/>
      <c r="EU61" s="200"/>
      <c r="EV61" s="200"/>
      <c r="EW61" s="200"/>
      <c r="EX61" s="180"/>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64"/>
      <c r="FV61" s="201"/>
      <c r="FW61" s="201"/>
      <c r="FX61" s="201"/>
      <c r="FY61" s="201"/>
      <c r="FZ61" s="201"/>
      <c r="GA61" s="19"/>
      <c r="GB61" s="45"/>
    </row>
    <row r="62" spans="1:184" ht="7.5" customHeight="1">
      <c r="A62" s="183"/>
      <c r="B62" s="19"/>
      <c r="C62" s="141"/>
      <c r="D62" s="142"/>
      <c r="E62" s="142"/>
      <c r="F62" s="142"/>
      <c r="G62" s="142"/>
      <c r="H62" s="142"/>
      <c r="I62" s="142"/>
      <c r="J62" s="142"/>
      <c r="K62" s="142"/>
      <c r="L62" s="142"/>
      <c r="M62" s="136"/>
      <c r="N62" s="136"/>
      <c r="O62" s="19"/>
      <c r="P62" s="204"/>
      <c r="Q62" s="204"/>
      <c r="R62" s="204"/>
      <c r="S62" s="19"/>
      <c r="T62" s="194"/>
      <c r="U62" s="194"/>
      <c r="V62" s="194"/>
      <c r="W62" s="19"/>
      <c r="X62" s="262"/>
      <c r="Y62" s="263"/>
      <c r="Z62" s="263"/>
      <c r="AA62" s="263"/>
      <c r="AB62" s="19"/>
      <c r="AC62" s="144"/>
      <c r="AD62" s="144"/>
      <c r="AE62" s="144"/>
      <c r="AF62" s="144"/>
      <c r="AG62" s="19"/>
      <c r="AH62" s="146"/>
      <c r="AI62" s="146"/>
      <c r="AJ62" s="146"/>
      <c r="AK62" s="146"/>
      <c r="AL62" s="145"/>
      <c r="AM62" s="137"/>
      <c r="AN62" s="137"/>
      <c r="AO62" s="137"/>
      <c r="AP62" s="137"/>
      <c r="AQ62" s="137"/>
      <c r="AR62" s="137"/>
      <c r="AS62" s="137"/>
      <c r="AT62" s="137"/>
      <c r="AU62" s="137"/>
      <c r="AV62" s="137"/>
      <c r="AW62" s="138"/>
      <c r="AX62" s="138"/>
      <c r="AY62" s="130"/>
      <c r="AZ62" s="204"/>
      <c r="BA62" s="204"/>
      <c r="BB62" s="204"/>
      <c r="BC62" s="130"/>
      <c r="BD62" s="194"/>
      <c r="BE62" s="194"/>
      <c r="BF62" s="194"/>
      <c r="BG62" s="130"/>
      <c r="BH62" s="197"/>
      <c r="BI62" s="198"/>
      <c r="BJ62" s="198"/>
      <c r="BK62" s="198"/>
      <c r="BL62" s="70"/>
      <c r="BM62" s="226"/>
      <c r="BN62" s="227"/>
      <c r="BO62" s="227"/>
      <c r="BP62" s="227"/>
      <c r="BQ62" s="19"/>
      <c r="BR62" s="194"/>
      <c r="BS62" s="194"/>
      <c r="BT62" s="194"/>
      <c r="BU62" s="194"/>
      <c r="BV62" s="19"/>
      <c r="BW62" s="183"/>
      <c r="BX62" s="133"/>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6"/>
      <c r="DF62" s="156"/>
      <c r="DG62" s="43"/>
      <c r="DH62" s="43"/>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6"/>
      <c r="EP62" s="156"/>
      <c r="EQ62" s="43"/>
      <c r="ER62" s="67"/>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19"/>
      <c r="GB62" s="45"/>
    </row>
    <row r="63" spans="1:184" ht="7.5" customHeight="1" thickBot="1">
      <c r="A63" s="72"/>
      <c r="B63" s="19"/>
      <c r="C63" s="19"/>
      <c r="D63" s="19"/>
      <c r="E63" s="19"/>
      <c r="F63" s="19"/>
      <c r="G63" s="19"/>
      <c r="H63" s="19"/>
      <c r="I63" s="19"/>
      <c r="J63" s="19"/>
      <c r="K63" s="19"/>
      <c r="L63" s="19"/>
      <c r="M63" s="19"/>
      <c r="N63" s="19"/>
      <c r="O63" s="19"/>
      <c r="P63" s="64"/>
      <c r="Q63" s="64"/>
      <c r="R63" s="64"/>
      <c r="S63" s="19"/>
      <c r="T63" s="66"/>
      <c r="U63" s="66"/>
      <c r="V63" s="66"/>
      <c r="W63" s="19"/>
      <c r="X63" s="73"/>
      <c r="Y63" s="73"/>
      <c r="Z63" s="73"/>
      <c r="AA63" s="73"/>
      <c r="AB63" s="19"/>
      <c r="AC63" s="19"/>
      <c r="AD63" s="19"/>
      <c r="AE63" s="19"/>
      <c r="AF63" s="19"/>
      <c r="AG63" s="19"/>
      <c r="AH63" s="66"/>
      <c r="AI63" s="66"/>
      <c r="AJ63" s="66"/>
      <c r="AK63" s="66"/>
      <c r="AL63" s="127"/>
      <c r="AM63" s="19"/>
      <c r="AN63" s="19"/>
      <c r="AO63" s="19"/>
      <c r="AP63" s="19"/>
      <c r="AQ63" s="19"/>
      <c r="AR63" s="19"/>
      <c r="AS63" s="19"/>
      <c r="AT63" s="19"/>
      <c r="AU63" s="19"/>
      <c r="AV63" s="19"/>
      <c r="AW63" s="19"/>
      <c r="AX63" s="19"/>
      <c r="AY63" s="74"/>
      <c r="AZ63" s="64"/>
      <c r="BA63" s="64"/>
      <c r="BB63" s="64"/>
      <c r="BC63" s="74"/>
      <c r="BD63" s="66"/>
      <c r="BE63" s="66"/>
      <c r="BF63" s="66"/>
      <c r="BG63" s="74"/>
      <c r="BH63" s="75"/>
      <c r="BI63" s="75"/>
      <c r="BJ63" s="75"/>
      <c r="BK63" s="75"/>
      <c r="BL63" s="70"/>
      <c r="BM63" s="76"/>
      <c r="BN63" s="76"/>
      <c r="BO63" s="76"/>
      <c r="BP63" s="76"/>
      <c r="BQ63" s="19"/>
      <c r="BR63" s="66"/>
      <c r="BS63" s="66"/>
      <c r="BT63" s="66"/>
      <c r="BU63" s="66"/>
      <c r="BV63" s="19"/>
      <c r="BW63" s="72"/>
      <c r="BX63" s="51"/>
      <c r="BY63" s="19"/>
      <c r="BZ63" s="19"/>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19"/>
      <c r="DG63" s="43"/>
      <c r="DH63" s="43"/>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43"/>
      <c r="ER63" s="19"/>
      <c r="ES63" s="200"/>
      <c r="ET63" s="200"/>
      <c r="EU63" s="200"/>
      <c r="EV63" s="200"/>
      <c r="EW63" s="200"/>
      <c r="EX63" s="18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64"/>
      <c r="FV63" s="201"/>
      <c r="FW63" s="201"/>
      <c r="FX63" s="201"/>
      <c r="FY63" s="201"/>
      <c r="FZ63" s="201"/>
      <c r="GA63" s="19"/>
      <c r="GB63" s="45"/>
    </row>
    <row r="64" spans="1:184" ht="7.5" customHeight="1">
      <c r="A64" s="183">
        <f>IF(ISNUMBER(EF142),"!","")</f>
      </c>
      <c r="B64" s="19"/>
      <c r="C64" s="139" t="s">
        <v>389</v>
      </c>
      <c r="D64" s="140"/>
      <c r="E64" s="140"/>
      <c r="F64" s="140"/>
      <c r="G64" s="140"/>
      <c r="H64" s="140"/>
      <c r="I64" s="140"/>
      <c r="J64" s="140"/>
      <c r="K64" s="140"/>
      <c r="L64" s="140"/>
      <c r="M64" s="135"/>
      <c r="N64" s="135"/>
      <c r="O64" s="19"/>
      <c r="P64" s="204"/>
      <c r="Q64" s="204"/>
      <c r="R64" s="204"/>
      <c r="S64" s="19"/>
      <c r="T64" s="194">
        <f>IF(P64&gt;0,P64/1.97,"")</f>
      </c>
      <c r="U64" s="194"/>
      <c r="V64" s="194"/>
      <c r="W64" s="19"/>
      <c r="X64" s="260">
        <v>226.7962</v>
      </c>
      <c r="Y64" s="261"/>
      <c r="Z64" s="261"/>
      <c r="AA64" s="261"/>
      <c r="AB64" s="19"/>
      <c r="AC64" s="144">
        <f>IF(ISNUMBER(X64),X64*0.002204622621849,"")</f>
        <v>0.5000000330693902</v>
      </c>
      <c r="AD64" s="144"/>
      <c r="AE64" s="144"/>
      <c r="AF64" s="144"/>
      <c r="AG64" s="19"/>
      <c r="AH64" s="146">
        <f>IF(AND(ISNUMBER(X64),ISNUMBER($X$79)),X64/$X$79*100,"")</f>
        <v>3.477051839909436</v>
      </c>
      <c r="AI64" s="146"/>
      <c r="AJ64" s="146"/>
      <c r="AK64" s="146"/>
      <c r="AL64" s="145">
        <f>IF(OR(AW64="B",M64="B"),"B","")</f>
      </c>
      <c r="AM64" s="137"/>
      <c r="AN64" s="137"/>
      <c r="AO64" s="137"/>
      <c r="AP64" s="137"/>
      <c r="AQ64" s="137"/>
      <c r="AR64" s="137"/>
      <c r="AS64" s="137"/>
      <c r="AT64" s="137"/>
      <c r="AU64" s="137"/>
      <c r="AV64" s="137"/>
      <c r="AW64" s="138"/>
      <c r="AX64" s="138"/>
      <c r="AY64" s="130" t="str">
        <f>IF(C64&gt;0,IF(AM64&gt;0,AM64,C64),"")</f>
        <v>Am - Caramel/Crystal 60L</v>
      </c>
      <c r="AZ64" s="204"/>
      <c r="BA64" s="204"/>
      <c r="BB64" s="204"/>
      <c r="BC64" s="130">
        <f>IF(P64&gt;0,IF(ISNUMBER(BD64),AZ64,P64),"")</f>
      </c>
      <c r="BD64" s="194">
        <f>IF(AZ64&gt;0,AZ64/1.97,"")</f>
      </c>
      <c r="BE64" s="194"/>
      <c r="BF64" s="194"/>
      <c r="BG64" s="130">
        <f>IF(ISNUMBER(T64),IF(ISNUMBER(BD64),BD64,T64),"")</f>
      </c>
      <c r="BH64" s="195">
        <f>IF(AND(ISNUMBER(DI173),ISNUMBER(EQ173)),DI173/EQ173*453.59237,"")</f>
        <v>107.61341526713642</v>
      </c>
      <c r="BI64" s="196"/>
      <c r="BJ64" s="196"/>
      <c r="BK64" s="196"/>
      <c r="BL64" s="70"/>
      <c r="BM64" s="224">
        <f>IF(ISNUMBER(BH64),BH64*0.002204622621849,"")</f>
        <v>0.2372469697123595</v>
      </c>
      <c r="BN64" s="225"/>
      <c r="BO64" s="225"/>
      <c r="BP64" s="225"/>
      <c r="BQ64" s="19"/>
      <c r="BR64" s="194">
        <f>IF(AND(ISNUMBER(BH64),ISNUMBER($BH$79)),BH64/$BH$79*100,"")</f>
        <v>3.477051839909434</v>
      </c>
      <c r="BS64" s="194"/>
      <c r="BT64" s="194"/>
      <c r="BU64" s="194"/>
      <c r="BV64" s="19"/>
      <c r="BW64" s="183">
        <f>IF(OR(A64="!",ISNUMBER(EF173)),"!","")</f>
      </c>
      <c r="BX64" s="133">
        <f>IF(OR(AL64="",AW64="M",AW64="S"),BR64,"")</f>
        <v>3.477051839909434</v>
      </c>
      <c r="BY64" s="165" t="s">
        <v>19</v>
      </c>
      <c r="BZ64" s="165"/>
      <c r="CA64" s="165"/>
      <c r="CB64" s="165"/>
      <c r="CC64" s="165"/>
      <c r="CD64" s="165"/>
      <c r="CE64" s="165"/>
      <c r="CF64" s="165"/>
      <c r="CG64" s="165"/>
      <c r="CH64" s="165"/>
      <c r="CI64" s="165"/>
      <c r="CJ64" s="165"/>
      <c r="CK64" s="165"/>
      <c r="CL64" s="165"/>
      <c r="CM64" s="165"/>
      <c r="CN64" s="165"/>
      <c r="CO64" s="165"/>
      <c r="CP64" s="165"/>
      <c r="CQ64" s="222"/>
      <c r="CR64" s="222"/>
      <c r="CS64" s="222"/>
      <c r="CT64" s="222"/>
      <c r="CU64" s="132" t="s">
        <v>6</v>
      </c>
      <c r="CV64" s="132"/>
      <c r="CW64" s="132"/>
      <c r="CX64" s="132"/>
      <c r="CY64" s="179" t="s">
        <v>1</v>
      </c>
      <c r="CZ64" s="223">
        <f>IF(ISNUMBER(CQ64),CQ64*0.2641720523582,"")</f>
      </c>
      <c r="DA64" s="223"/>
      <c r="DB64" s="223"/>
      <c r="DC64" s="223"/>
      <c r="DD64" s="164" t="s">
        <v>7</v>
      </c>
      <c r="DE64" s="164"/>
      <c r="DF64" s="164"/>
      <c r="DG64" s="43"/>
      <c r="DH64" s="183">
        <f>IF(ISNUMBER(EA64),"!","")</f>
      </c>
      <c r="DI64" s="165" t="s">
        <v>29</v>
      </c>
      <c r="DJ64" s="165"/>
      <c r="DK64" s="165"/>
      <c r="DL64" s="165"/>
      <c r="DM64" s="165"/>
      <c r="DN64" s="165"/>
      <c r="DO64" s="165"/>
      <c r="DP64" s="165"/>
      <c r="DQ64" s="165"/>
      <c r="DR64" s="165"/>
      <c r="DS64" s="165"/>
      <c r="DT64" s="165"/>
      <c r="DU64" s="165"/>
      <c r="DV64" s="165"/>
      <c r="DW64" s="165"/>
      <c r="DX64" s="165"/>
      <c r="DY64" s="165"/>
      <c r="DZ64" s="165"/>
      <c r="EA64" s="144">
        <f>IF(OR(EA67&gt;0,EA73&gt;0,EA76&gt;0,EA79&gt;0),EA67+EA73+EA76+EA79,"")</f>
      </c>
      <c r="EB64" s="144"/>
      <c r="EC64" s="144"/>
      <c r="ED64" s="144"/>
      <c r="EE64" s="132" t="s">
        <v>6</v>
      </c>
      <c r="EF64" s="132"/>
      <c r="EG64" s="132"/>
      <c r="EH64" s="132"/>
      <c r="EI64" s="179" t="s">
        <v>1</v>
      </c>
      <c r="EJ64" s="144">
        <f>IF(ISNUMBER(EA64),EA64*0.2641720523582,"")</f>
      </c>
      <c r="EK64" s="144"/>
      <c r="EL64" s="144"/>
      <c r="EM64" s="144"/>
      <c r="EN64" s="164" t="s">
        <v>7</v>
      </c>
      <c r="EO64" s="164"/>
      <c r="EP64" s="164"/>
      <c r="EQ64" s="43"/>
      <c r="ER64" s="19"/>
      <c r="ES64" s="200"/>
      <c r="ET64" s="200"/>
      <c r="EU64" s="200"/>
      <c r="EV64" s="200"/>
      <c r="EW64" s="200"/>
      <c r="EX64" s="18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64"/>
      <c r="FV64" s="201"/>
      <c r="FW64" s="201"/>
      <c r="FX64" s="201"/>
      <c r="FY64" s="201"/>
      <c r="FZ64" s="201"/>
      <c r="GA64" s="19"/>
      <c r="GB64" s="45"/>
    </row>
    <row r="65" spans="1:184" ht="7.5" customHeight="1">
      <c r="A65" s="183"/>
      <c r="B65" s="19"/>
      <c r="C65" s="141"/>
      <c r="D65" s="142"/>
      <c r="E65" s="142"/>
      <c r="F65" s="142"/>
      <c r="G65" s="142"/>
      <c r="H65" s="142"/>
      <c r="I65" s="142"/>
      <c r="J65" s="142"/>
      <c r="K65" s="142"/>
      <c r="L65" s="142"/>
      <c r="M65" s="136"/>
      <c r="N65" s="136"/>
      <c r="O65" s="19"/>
      <c r="P65" s="204"/>
      <c r="Q65" s="204"/>
      <c r="R65" s="204"/>
      <c r="S65" s="19"/>
      <c r="T65" s="194"/>
      <c r="U65" s="194"/>
      <c r="V65" s="194"/>
      <c r="W65" s="19"/>
      <c r="X65" s="262"/>
      <c r="Y65" s="263"/>
      <c r="Z65" s="263"/>
      <c r="AA65" s="263"/>
      <c r="AB65" s="19"/>
      <c r="AC65" s="144"/>
      <c r="AD65" s="144"/>
      <c r="AE65" s="144"/>
      <c r="AF65" s="144"/>
      <c r="AG65" s="19"/>
      <c r="AH65" s="146"/>
      <c r="AI65" s="146"/>
      <c r="AJ65" s="146"/>
      <c r="AK65" s="146"/>
      <c r="AL65" s="145"/>
      <c r="AM65" s="137"/>
      <c r="AN65" s="137"/>
      <c r="AO65" s="137"/>
      <c r="AP65" s="137"/>
      <c r="AQ65" s="137"/>
      <c r="AR65" s="137"/>
      <c r="AS65" s="137"/>
      <c r="AT65" s="137"/>
      <c r="AU65" s="137"/>
      <c r="AV65" s="137"/>
      <c r="AW65" s="138"/>
      <c r="AX65" s="138"/>
      <c r="AY65" s="130"/>
      <c r="AZ65" s="204"/>
      <c r="BA65" s="204"/>
      <c r="BB65" s="204"/>
      <c r="BC65" s="130"/>
      <c r="BD65" s="194"/>
      <c r="BE65" s="194"/>
      <c r="BF65" s="194"/>
      <c r="BG65" s="130"/>
      <c r="BH65" s="197"/>
      <c r="BI65" s="198"/>
      <c r="BJ65" s="198"/>
      <c r="BK65" s="198"/>
      <c r="BL65" s="70"/>
      <c r="BM65" s="226"/>
      <c r="BN65" s="227"/>
      <c r="BO65" s="227"/>
      <c r="BP65" s="227"/>
      <c r="BQ65" s="19"/>
      <c r="BR65" s="194"/>
      <c r="BS65" s="194"/>
      <c r="BT65" s="194"/>
      <c r="BU65" s="194"/>
      <c r="BV65" s="19"/>
      <c r="BW65" s="183"/>
      <c r="BX65" s="133"/>
      <c r="BY65" s="165"/>
      <c r="BZ65" s="165"/>
      <c r="CA65" s="165"/>
      <c r="CB65" s="165"/>
      <c r="CC65" s="165"/>
      <c r="CD65" s="165"/>
      <c r="CE65" s="165"/>
      <c r="CF65" s="165"/>
      <c r="CG65" s="165"/>
      <c r="CH65" s="165"/>
      <c r="CI65" s="165"/>
      <c r="CJ65" s="165"/>
      <c r="CK65" s="165"/>
      <c r="CL65" s="165"/>
      <c r="CM65" s="165"/>
      <c r="CN65" s="165"/>
      <c r="CO65" s="165"/>
      <c r="CP65" s="165"/>
      <c r="CQ65" s="222"/>
      <c r="CR65" s="222"/>
      <c r="CS65" s="222"/>
      <c r="CT65" s="222"/>
      <c r="CU65" s="132"/>
      <c r="CV65" s="132"/>
      <c r="CW65" s="132"/>
      <c r="CX65" s="132"/>
      <c r="CY65" s="212"/>
      <c r="CZ65" s="223"/>
      <c r="DA65" s="223"/>
      <c r="DB65" s="223"/>
      <c r="DC65" s="223"/>
      <c r="DD65" s="164"/>
      <c r="DE65" s="164"/>
      <c r="DF65" s="164"/>
      <c r="DG65" s="43"/>
      <c r="DH65" s="183"/>
      <c r="DI65" s="165"/>
      <c r="DJ65" s="165"/>
      <c r="DK65" s="165"/>
      <c r="DL65" s="165"/>
      <c r="DM65" s="165"/>
      <c r="DN65" s="165"/>
      <c r="DO65" s="165"/>
      <c r="DP65" s="165"/>
      <c r="DQ65" s="165"/>
      <c r="DR65" s="165"/>
      <c r="DS65" s="165"/>
      <c r="DT65" s="165"/>
      <c r="DU65" s="165"/>
      <c r="DV65" s="165"/>
      <c r="DW65" s="165"/>
      <c r="DX65" s="165"/>
      <c r="DY65" s="165"/>
      <c r="DZ65" s="165"/>
      <c r="EA65" s="144"/>
      <c r="EB65" s="144"/>
      <c r="EC65" s="144"/>
      <c r="ED65" s="144"/>
      <c r="EE65" s="132"/>
      <c r="EF65" s="132"/>
      <c r="EG65" s="132"/>
      <c r="EH65" s="132"/>
      <c r="EI65" s="212"/>
      <c r="EJ65" s="144"/>
      <c r="EK65" s="144"/>
      <c r="EL65" s="144"/>
      <c r="EM65" s="144"/>
      <c r="EN65" s="164"/>
      <c r="EO65" s="164"/>
      <c r="EP65" s="164"/>
      <c r="EQ65" s="43"/>
      <c r="ER65" s="67"/>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19"/>
      <c r="GB65" s="45"/>
    </row>
    <row r="66" spans="1:184" ht="7.5" customHeight="1" thickBot="1">
      <c r="A66" s="72"/>
      <c r="B66" s="19"/>
      <c r="C66" s="19"/>
      <c r="D66" s="19"/>
      <c r="E66" s="19"/>
      <c r="F66" s="19"/>
      <c r="G66" s="19"/>
      <c r="H66" s="19"/>
      <c r="I66" s="19"/>
      <c r="J66" s="19"/>
      <c r="K66" s="19"/>
      <c r="L66" s="19"/>
      <c r="M66" s="19"/>
      <c r="N66" s="19"/>
      <c r="O66" s="19"/>
      <c r="P66" s="64"/>
      <c r="Q66" s="64"/>
      <c r="R66" s="64"/>
      <c r="S66" s="19"/>
      <c r="T66" s="66"/>
      <c r="U66" s="66"/>
      <c r="V66" s="66"/>
      <c r="W66" s="19"/>
      <c r="X66" s="73"/>
      <c r="Y66" s="73"/>
      <c r="Z66" s="73"/>
      <c r="AA66" s="73"/>
      <c r="AB66" s="19"/>
      <c r="AC66" s="19"/>
      <c r="AD66" s="19"/>
      <c r="AE66" s="19"/>
      <c r="AF66" s="19"/>
      <c r="AG66" s="19"/>
      <c r="AH66" s="66"/>
      <c r="AI66" s="66"/>
      <c r="AJ66" s="66"/>
      <c r="AK66" s="66"/>
      <c r="AL66" s="127"/>
      <c r="AM66" s="19"/>
      <c r="AN66" s="19"/>
      <c r="AO66" s="19"/>
      <c r="AP66" s="19"/>
      <c r="AQ66" s="19"/>
      <c r="AR66" s="19"/>
      <c r="AS66" s="19"/>
      <c r="AT66" s="19"/>
      <c r="AU66" s="19"/>
      <c r="AV66" s="19"/>
      <c r="AW66" s="19"/>
      <c r="AX66" s="19"/>
      <c r="AY66" s="74"/>
      <c r="AZ66" s="64"/>
      <c r="BA66" s="64"/>
      <c r="BB66" s="64"/>
      <c r="BC66" s="74"/>
      <c r="BD66" s="66"/>
      <c r="BE66" s="66"/>
      <c r="BF66" s="66"/>
      <c r="BG66" s="74"/>
      <c r="BH66" s="75"/>
      <c r="BI66" s="75"/>
      <c r="BJ66" s="75"/>
      <c r="BK66" s="75"/>
      <c r="BL66" s="70"/>
      <c r="BM66" s="76"/>
      <c r="BN66" s="76"/>
      <c r="BO66" s="76"/>
      <c r="BP66" s="76"/>
      <c r="BQ66" s="19"/>
      <c r="BR66" s="66"/>
      <c r="BS66" s="66"/>
      <c r="BT66" s="66"/>
      <c r="BU66" s="66"/>
      <c r="BV66" s="19"/>
      <c r="BW66" s="72"/>
      <c r="BX66" s="51"/>
      <c r="BY66" s="19"/>
      <c r="BZ66" s="19"/>
      <c r="CA66" s="19"/>
      <c r="CB66" s="19"/>
      <c r="CC66" s="19"/>
      <c r="CD66" s="19"/>
      <c r="CE66" s="19"/>
      <c r="CF66" s="19"/>
      <c r="CG66" s="19"/>
      <c r="CH66" s="19"/>
      <c r="CI66" s="19"/>
      <c r="CJ66" s="19"/>
      <c r="CK66" s="19"/>
      <c r="CL66" s="19"/>
      <c r="CM66" s="19"/>
      <c r="CN66" s="19"/>
      <c r="CO66" s="19"/>
      <c r="CP66" s="19"/>
      <c r="CQ66" s="42"/>
      <c r="CR66" s="42"/>
      <c r="CS66" s="42"/>
      <c r="CT66" s="42"/>
      <c r="CU66" s="19"/>
      <c r="CV66" s="19"/>
      <c r="CW66" s="19"/>
      <c r="CX66" s="19"/>
      <c r="CY66" s="19"/>
      <c r="CZ66" s="19"/>
      <c r="DA66" s="19"/>
      <c r="DB66" s="19"/>
      <c r="DC66" s="19"/>
      <c r="DD66" s="19"/>
      <c r="DE66" s="19"/>
      <c r="DF66" s="19"/>
      <c r="DG66" s="43"/>
      <c r="DH66" s="72"/>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43"/>
      <c r="ER66" s="19"/>
      <c r="ES66" s="200"/>
      <c r="ET66" s="200"/>
      <c r="EU66" s="200"/>
      <c r="EV66" s="200"/>
      <c r="EW66" s="200"/>
      <c r="EX66" s="18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64"/>
      <c r="FV66" s="201"/>
      <c r="FW66" s="201"/>
      <c r="FX66" s="201"/>
      <c r="FY66" s="201"/>
      <c r="FZ66" s="201"/>
      <c r="GA66" s="19"/>
      <c r="GB66" s="45"/>
    </row>
    <row r="67" spans="1:184" ht="7.5" customHeight="1">
      <c r="A67" s="183">
        <f>IF(ISNUMBER(EF145),"!","")</f>
      </c>
      <c r="B67" s="19"/>
      <c r="C67" s="139" t="s">
        <v>391</v>
      </c>
      <c r="D67" s="140"/>
      <c r="E67" s="140"/>
      <c r="F67" s="140"/>
      <c r="G67" s="140"/>
      <c r="H67" s="140"/>
      <c r="I67" s="140"/>
      <c r="J67" s="140"/>
      <c r="K67" s="140"/>
      <c r="L67" s="140"/>
      <c r="M67" s="135"/>
      <c r="N67" s="135"/>
      <c r="O67" s="19"/>
      <c r="P67" s="204"/>
      <c r="Q67" s="204"/>
      <c r="R67" s="204"/>
      <c r="S67" s="19"/>
      <c r="T67" s="194">
        <f>IF(P67&gt;0,P67/1.97,"")</f>
      </c>
      <c r="U67" s="194"/>
      <c r="V67" s="194"/>
      <c r="W67" s="19"/>
      <c r="X67" s="260">
        <v>226.7962</v>
      </c>
      <c r="Y67" s="261"/>
      <c r="Z67" s="261"/>
      <c r="AA67" s="261"/>
      <c r="AB67" s="19"/>
      <c r="AC67" s="144">
        <f>IF(ISNUMBER(X67),X67*0.002204622621849,"")</f>
        <v>0.5000000330693902</v>
      </c>
      <c r="AD67" s="144"/>
      <c r="AE67" s="144"/>
      <c r="AF67" s="144"/>
      <c r="AG67" s="19"/>
      <c r="AH67" s="146">
        <f>IF(AND(ISNUMBER(X67),ISNUMBER($X$79)),X67/$X$79*100,"")</f>
        <v>3.477051839909436</v>
      </c>
      <c r="AI67" s="146"/>
      <c r="AJ67" s="146"/>
      <c r="AK67" s="146"/>
      <c r="AL67" s="145">
        <f>IF(OR(AW67="B",M67="B"),"B","")</f>
      </c>
      <c r="AM67" s="137"/>
      <c r="AN67" s="137"/>
      <c r="AO67" s="137"/>
      <c r="AP67" s="137"/>
      <c r="AQ67" s="137"/>
      <c r="AR67" s="137"/>
      <c r="AS67" s="137"/>
      <c r="AT67" s="137"/>
      <c r="AU67" s="137"/>
      <c r="AV67" s="137"/>
      <c r="AW67" s="138"/>
      <c r="AX67" s="138"/>
      <c r="AY67" s="130" t="str">
        <f>IF(C67&gt;0,IF(AM67&gt;0,AM67,C67),"")</f>
        <v>German - Melanoidin</v>
      </c>
      <c r="AZ67" s="204"/>
      <c r="BA67" s="204"/>
      <c r="BB67" s="204"/>
      <c r="BC67" s="130">
        <f>IF(P67&gt;0,IF(ISNUMBER(BD67),AZ67,P67),"")</f>
      </c>
      <c r="BD67" s="194">
        <f>IF(AZ67&gt;0,AZ67/1.97,"")</f>
      </c>
      <c r="BE67" s="194"/>
      <c r="BF67" s="194"/>
      <c r="BG67" s="130">
        <f>IF(ISNUMBER(T67),IF(ISNUMBER(BD67),BD67,T67),"")</f>
      </c>
      <c r="BH67" s="195">
        <f>IF(AND(ISNUMBER(DI176),ISNUMBER(EQ176)),DI176/EQ176*453.59237,"")</f>
        <v>107.61341526713642</v>
      </c>
      <c r="BI67" s="196"/>
      <c r="BJ67" s="196"/>
      <c r="BK67" s="196"/>
      <c r="BL67" s="70"/>
      <c r="BM67" s="224">
        <f>IF(ISNUMBER(BH67),BH67*0.002204622621849,"")</f>
        <v>0.2372469697123595</v>
      </c>
      <c r="BN67" s="225"/>
      <c r="BO67" s="225"/>
      <c r="BP67" s="225"/>
      <c r="BQ67" s="19"/>
      <c r="BR67" s="194">
        <f>IF(AND(ISNUMBER(BH67),ISNUMBER($BH$79)),BH67/$BH$79*100,"")</f>
        <v>3.477051839909434</v>
      </c>
      <c r="BS67" s="194"/>
      <c r="BT67" s="194"/>
      <c r="BU67" s="194"/>
      <c r="BV67" s="19"/>
      <c r="BW67" s="183">
        <f>IF(OR(A67="!",ISNUMBER(EF176)),"!","")</f>
      </c>
      <c r="BX67" s="133">
        <f>IF(OR(AL67="",AW67="M",AW67="S"),BR67,"")</f>
        <v>3.477051839909434</v>
      </c>
      <c r="BY67" s="165" t="s">
        <v>327</v>
      </c>
      <c r="BZ67" s="165"/>
      <c r="CA67" s="165"/>
      <c r="CB67" s="165"/>
      <c r="CC67" s="165"/>
      <c r="CD67" s="165"/>
      <c r="CE67" s="165"/>
      <c r="CF67" s="165"/>
      <c r="CG67" s="165"/>
      <c r="CH67" s="165"/>
      <c r="CI67" s="165"/>
      <c r="CJ67" s="165"/>
      <c r="CK67" s="165"/>
      <c r="CL67" s="165"/>
      <c r="CM67" s="165"/>
      <c r="CN67" s="165"/>
      <c r="CO67" s="165"/>
      <c r="CP67" s="165"/>
      <c r="CQ67" s="222"/>
      <c r="CR67" s="222"/>
      <c r="CS67" s="222"/>
      <c r="CT67" s="222"/>
      <c r="CU67" s="132" t="s">
        <v>6</v>
      </c>
      <c r="CV67" s="132"/>
      <c r="CW67" s="132"/>
      <c r="CX67" s="132"/>
      <c r="CY67" s="179" t="s">
        <v>1</v>
      </c>
      <c r="CZ67" s="223">
        <f>IF(ISNUMBER(CQ67),CQ67*0.2641720523582,"")</f>
      </c>
      <c r="DA67" s="223"/>
      <c r="DB67" s="223"/>
      <c r="DC67" s="223"/>
      <c r="DD67" s="164" t="s">
        <v>7</v>
      </c>
      <c r="DE67" s="164"/>
      <c r="DF67" s="164"/>
      <c r="DG67" s="43"/>
      <c r="DH67" s="183">
        <f>IF(EA67&gt;0,"!","")</f>
      </c>
      <c r="DI67" s="165" t="s">
        <v>60</v>
      </c>
      <c r="DJ67" s="165"/>
      <c r="DK67" s="165"/>
      <c r="DL67" s="165"/>
      <c r="DM67" s="165"/>
      <c r="DN67" s="165"/>
      <c r="DO67" s="165"/>
      <c r="DP67" s="165"/>
      <c r="DQ67" s="165"/>
      <c r="DR67" s="165"/>
      <c r="DS67" s="165"/>
      <c r="DT67" s="165"/>
      <c r="DU67" s="165"/>
      <c r="DV67" s="165"/>
      <c r="DW67" s="165"/>
      <c r="DX67" s="165"/>
      <c r="DY67" s="165"/>
      <c r="DZ67" s="165"/>
      <c r="EA67" s="222"/>
      <c r="EB67" s="222"/>
      <c r="EC67" s="222"/>
      <c r="ED67" s="222"/>
      <c r="EE67" s="132" t="s">
        <v>6</v>
      </c>
      <c r="EF67" s="132"/>
      <c r="EG67" s="132"/>
      <c r="EH67" s="132"/>
      <c r="EI67" s="179" t="s">
        <v>1</v>
      </c>
      <c r="EJ67" s="144">
        <f>IF(EA67&gt;0,EA67*0.2641720523582,"")</f>
      </c>
      <c r="EK67" s="144"/>
      <c r="EL67" s="144"/>
      <c r="EM67" s="144"/>
      <c r="EN67" s="164" t="s">
        <v>7</v>
      </c>
      <c r="EO67" s="164"/>
      <c r="EP67" s="164"/>
      <c r="EQ67" s="43"/>
      <c r="ER67" s="19"/>
      <c r="ES67" s="200"/>
      <c r="ET67" s="200"/>
      <c r="EU67" s="200"/>
      <c r="EV67" s="200"/>
      <c r="EW67" s="200"/>
      <c r="EX67" s="18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64"/>
      <c r="FV67" s="201"/>
      <c r="FW67" s="201"/>
      <c r="FX67" s="201"/>
      <c r="FY67" s="201"/>
      <c r="FZ67" s="201"/>
      <c r="GA67" s="19"/>
      <c r="GB67" s="45"/>
    </row>
    <row r="68" spans="1:184" ht="7.5" customHeight="1">
      <c r="A68" s="183"/>
      <c r="B68" s="19"/>
      <c r="C68" s="141"/>
      <c r="D68" s="142"/>
      <c r="E68" s="142"/>
      <c r="F68" s="142"/>
      <c r="G68" s="142"/>
      <c r="H68" s="142"/>
      <c r="I68" s="142"/>
      <c r="J68" s="142"/>
      <c r="K68" s="142"/>
      <c r="L68" s="142"/>
      <c r="M68" s="136"/>
      <c r="N68" s="136"/>
      <c r="O68" s="19"/>
      <c r="P68" s="204"/>
      <c r="Q68" s="204"/>
      <c r="R68" s="204"/>
      <c r="S68" s="19"/>
      <c r="T68" s="194"/>
      <c r="U68" s="194"/>
      <c r="V68" s="194"/>
      <c r="W68" s="19"/>
      <c r="X68" s="262"/>
      <c r="Y68" s="263"/>
      <c r="Z68" s="263"/>
      <c r="AA68" s="263"/>
      <c r="AB68" s="19"/>
      <c r="AC68" s="144"/>
      <c r="AD68" s="144"/>
      <c r="AE68" s="144"/>
      <c r="AF68" s="144"/>
      <c r="AG68" s="19"/>
      <c r="AH68" s="146"/>
      <c r="AI68" s="146"/>
      <c r="AJ68" s="146"/>
      <c r="AK68" s="146"/>
      <c r="AL68" s="145"/>
      <c r="AM68" s="137"/>
      <c r="AN68" s="137"/>
      <c r="AO68" s="137"/>
      <c r="AP68" s="137"/>
      <c r="AQ68" s="137"/>
      <c r="AR68" s="137"/>
      <c r="AS68" s="137"/>
      <c r="AT68" s="137"/>
      <c r="AU68" s="137"/>
      <c r="AV68" s="137"/>
      <c r="AW68" s="138"/>
      <c r="AX68" s="138"/>
      <c r="AY68" s="130"/>
      <c r="AZ68" s="204"/>
      <c r="BA68" s="204"/>
      <c r="BB68" s="204"/>
      <c r="BC68" s="130"/>
      <c r="BD68" s="194"/>
      <c r="BE68" s="194"/>
      <c r="BF68" s="194"/>
      <c r="BG68" s="130"/>
      <c r="BH68" s="197"/>
      <c r="BI68" s="198"/>
      <c r="BJ68" s="198"/>
      <c r="BK68" s="198"/>
      <c r="BL68" s="70"/>
      <c r="BM68" s="226"/>
      <c r="BN68" s="227"/>
      <c r="BO68" s="227"/>
      <c r="BP68" s="227"/>
      <c r="BQ68" s="19"/>
      <c r="BR68" s="194"/>
      <c r="BS68" s="194"/>
      <c r="BT68" s="194"/>
      <c r="BU68" s="194"/>
      <c r="BV68" s="19"/>
      <c r="BW68" s="183"/>
      <c r="BX68" s="133"/>
      <c r="BY68" s="165"/>
      <c r="BZ68" s="165"/>
      <c r="CA68" s="165"/>
      <c r="CB68" s="165"/>
      <c r="CC68" s="165"/>
      <c r="CD68" s="165"/>
      <c r="CE68" s="165"/>
      <c r="CF68" s="165"/>
      <c r="CG68" s="165"/>
      <c r="CH68" s="165"/>
      <c r="CI68" s="165"/>
      <c r="CJ68" s="165"/>
      <c r="CK68" s="165"/>
      <c r="CL68" s="165"/>
      <c r="CM68" s="165"/>
      <c r="CN68" s="165"/>
      <c r="CO68" s="165"/>
      <c r="CP68" s="165"/>
      <c r="CQ68" s="222"/>
      <c r="CR68" s="222"/>
      <c r="CS68" s="222"/>
      <c r="CT68" s="222"/>
      <c r="CU68" s="132"/>
      <c r="CV68" s="132"/>
      <c r="CW68" s="132"/>
      <c r="CX68" s="132"/>
      <c r="CY68" s="212"/>
      <c r="CZ68" s="223"/>
      <c r="DA68" s="223"/>
      <c r="DB68" s="223"/>
      <c r="DC68" s="223"/>
      <c r="DD68" s="164"/>
      <c r="DE68" s="164"/>
      <c r="DF68" s="164"/>
      <c r="DG68" s="43"/>
      <c r="DH68" s="183"/>
      <c r="DI68" s="165"/>
      <c r="DJ68" s="165"/>
      <c r="DK68" s="165"/>
      <c r="DL68" s="165"/>
      <c r="DM68" s="165"/>
      <c r="DN68" s="165"/>
      <c r="DO68" s="165"/>
      <c r="DP68" s="165"/>
      <c r="DQ68" s="165"/>
      <c r="DR68" s="165"/>
      <c r="DS68" s="165"/>
      <c r="DT68" s="165"/>
      <c r="DU68" s="165"/>
      <c r="DV68" s="165"/>
      <c r="DW68" s="165"/>
      <c r="DX68" s="165"/>
      <c r="DY68" s="165"/>
      <c r="DZ68" s="165"/>
      <c r="EA68" s="222"/>
      <c r="EB68" s="222"/>
      <c r="EC68" s="222"/>
      <c r="ED68" s="222"/>
      <c r="EE68" s="132"/>
      <c r="EF68" s="132"/>
      <c r="EG68" s="132"/>
      <c r="EH68" s="132"/>
      <c r="EI68" s="212"/>
      <c r="EJ68" s="144"/>
      <c r="EK68" s="144"/>
      <c r="EL68" s="144"/>
      <c r="EM68" s="144"/>
      <c r="EN68" s="164"/>
      <c r="EO68" s="164"/>
      <c r="EP68" s="164"/>
      <c r="EQ68" s="43"/>
      <c r="ER68" s="67"/>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19"/>
      <c r="GB68" s="45"/>
    </row>
    <row r="69" spans="1:184" ht="7.5" customHeight="1" thickBot="1">
      <c r="A69" s="72"/>
      <c r="B69" s="19"/>
      <c r="C69" s="19"/>
      <c r="D69" s="19"/>
      <c r="E69" s="19"/>
      <c r="F69" s="19"/>
      <c r="G69" s="19"/>
      <c r="H69" s="19"/>
      <c r="I69" s="19"/>
      <c r="J69" s="19"/>
      <c r="K69" s="19"/>
      <c r="L69" s="19"/>
      <c r="M69" s="19"/>
      <c r="N69" s="19"/>
      <c r="O69" s="19"/>
      <c r="P69" s="64"/>
      <c r="Q69" s="64"/>
      <c r="R69" s="64"/>
      <c r="S69" s="19"/>
      <c r="T69" s="66"/>
      <c r="U69" s="66"/>
      <c r="V69" s="66"/>
      <c r="W69" s="19"/>
      <c r="X69" s="73"/>
      <c r="Y69" s="73"/>
      <c r="Z69" s="73"/>
      <c r="AA69" s="73"/>
      <c r="AB69" s="19"/>
      <c r="AC69" s="19"/>
      <c r="AD69" s="19"/>
      <c r="AE69" s="19"/>
      <c r="AF69" s="19"/>
      <c r="AG69" s="19"/>
      <c r="AH69" s="66"/>
      <c r="AI69" s="66"/>
      <c r="AJ69" s="66"/>
      <c r="AK69" s="66"/>
      <c r="AL69" s="127"/>
      <c r="AM69" s="19"/>
      <c r="AN69" s="19"/>
      <c r="AO69" s="19"/>
      <c r="AP69" s="19"/>
      <c r="AQ69" s="19"/>
      <c r="AR69" s="19"/>
      <c r="AS69" s="19"/>
      <c r="AT69" s="19"/>
      <c r="AU69" s="19"/>
      <c r="AV69" s="19"/>
      <c r="AW69" s="19"/>
      <c r="AX69" s="19"/>
      <c r="AY69" s="74"/>
      <c r="AZ69" s="64"/>
      <c r="BA69" s="64"/>
      <c r="BB69" s="64"/>
      <c r="BC69" s="74"/>
      <c r="BD69" s="66"/>
      <c r="BE69" s="66"/>
      <c r="BF69" s="66"/>
      <c r="BG69" s="74"/>
      <c r="BH69" s="75"/>
      <c r="BI69" s="75"/>
      <c r="BJ69" s="75"/>
      <c r="BK69" s="75"/>
      <c r="BL69" s="70"/>
      <c r="BM69" s="76"/>
      <c r="BN69" s="76"/>
      <c r="BO69" s="76"/>
      <c r="BP69" s="76"/>
      <c r="BQ69" s="19"/>
      <c r="BR69" s="66"/>
      <c r="BS69" s="66"/>
      <c r="BT69" s="66"/>
      <c r="BU69" s="66"/>
      <c r="BV69" s="19"/>
      <c r="BW69" s="72"/>
      <c r="BX69" s="51"/>
      <c r="BY69" s="19"/>
      <c r="BZ69" s="19"/>
      <c r="CA69" s="19"/>
      <c r="CB69" s="19"/>
      <c r="CC69" s="19"/>
      <c r="CD69" s="19"/>
      <c r="CE69" s="19"/>
      <c r="CF69" s="19"/>
      <c r="CG69" s="19"/>
      <c r="CH69" s="19"/>
      <c r="CI69" s="19"/>
      <c r="CJ69" s="19"/>
      <c r="CK69" s="19"/>
      <c r="CL69" s="19"/>
      <c r="CM69" s="19"/>
      <c r="CN69" s="19"/>
      <c r="CO69" s="19"/>
      <c r="CP69" s="19"/>
      <c r="CQ69" s="42"/>
      <c r="CR69" s="42"/>
      <c r="CS69" s="42"/>
      <c r="CT69" s="42"/>
      <c r="CU69" s="19"/>
      <c r="CV69" s="19"/>
      <c r="CW69" s="19"/>
      <c r="CX69" s="19"/>
      <c r="CY69" s="19"/>
      <c r="CZ69" s="19"/>
      <c r="DA69" s="19"/>
      <c r="DB69" s="19"/>
      <c r="DC69" s="19"/>
      <c r="DD69" s="19"/>
      <c r="DE69" s="19"/>
      <c r="DF69" s="19"/>
      <c r="DG69" s="43"/>
      <c r="DH69" s="72"/>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43"/>
      <c r="ER69" s="19"/>
      <c r="ES69" s="200"/>
      <c r="ET69" s="200"/>
      <c r="EU69" s="200"/>
      <c r="EV69" s="200"/>
      <c r="EW69" s="200"/>
      <c r="EX69" s="18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64"/>
      <c r="FV69" s="201"/>
      <c r="FW69" s="201"/>
      <c r="FX69" s="201"/>
      <c r="FY69" s="201"/>
      <c r="FZ69" s="201"/>
      <c r="GA69" s="19"/>
      <c r="GB69" s="45"/>
    </row>
    <row r="70" spans="1:184" ht="7.5" customHeight="1">
      <c r="A70" s="183">
        <f>IF(ISNUMBER(EF148),"!","")</f>
      </c>
      <c r="B70" s="19"/>
      <c r="C70" s="139"/>
      <c r="D70" s="140"/>
      <c r="E70" s="140"/>
      <c r="F70" s="140"/>
      <c r="G70" s="140"/>
      <c r="H70" s="140"/>
      <c r="I70" s="140"/>
      <c r="J70" s="140"/>
      <c r="K70" s="140"/>
      <c r="L70" s="140"/>
      <c r="M70" s="135"/>
      <c r="N70" s="135"/>
      <c r="O70" s="19"/>
      <c r="P70" s="204"/>
      <c r="Q70" s="204"/>
      <c r="R70" s="204"/>
      <c r="S70" s="19"/>
      <c r="T70" s="194">
        <f>IF(P70&gt;0,P70/1.97,"")</f>
      </c>
      <c r="U70" s="194"/>
      <c r="V70" s="194"/>
      <c r="W70" s="19"/>
      <c r="X70" s="260"/>
      <c r="Y70" s="261"/>
      <c r="Z70" s="261"/>
      <c r="AA70" s="261"/>
      <c r="AB70" s="19"/>
      <c r="AC70" s="144">
        <f>IF(ISNUMBER(X70),X70*0.002204622621849,"")</f>
      </c>
      <c r="AD70" s="144"/>
      <c r="AE70" s="144"/>
      <c r="AF70" s="144"/>
      <c r="AG70" s="19"/>
      <c r="AH70" s="146">
        <f>IF(AND(ISNUMBER(X70),ISNUMBER($X$79)),X70/$X$79*100,"")</f>
      </c>
      <c r="AI70" s="146"/>
      <c r="AJ70" s="146"/>
      <c r="AK70" s="146"/>
      <c r="AL70" s="145">
        <f>IF(OR(AW70="B",M70="B"),"B","")</f>
      </c>
      <c r="AM70" s="137"/>
      <c r="AN70" s="137"/>
      <c r="AO70" s="137"/>
      <c r="AP70" s="137"/>
      <c r="AQ70" s="137"/>
      <c r="AR70" s="137"/>
      <c r="AS70" s="137"/>
      <c r="AT70" s="137"/>
      <c r="AU70" s="137"/>
      <c r="AV70" s="137"/>
      <c r="AW70" s="138"/>
      <c r="AX70" s="138"/>
      <c r="AY70" s="130">
        <f>IF(C70&gt;0,IF(AM70&gt;0,AM70,C70),"")</f>
      </c>
      <c r="AZ70" s="204"/>
      <c r="BA70" s="204"/>
      <c r="BB70" s="204"/>
      <c r="BC70" s="130">
        <f>IF(P70&gt;0,IF(ISNUMBER(BD70),AZ70,P70),"")</f>
      </c>
      <c r="BD70" s="194">
        <f>IF(AZ70&gt;0,AZ70/1.97,"")</f>
      </c>
      <c r="BE70" s="194"/>
      <c r="BF70" s="194"/>
      <c r="BG70" s="130">
        <f>IF(ISNUMBER(T70),IF(ISNUMBER(BD70),BD70,T70),"")</f>
      </c>
      <c r="BH70" s="195">
        <f>IF(AND(ISNUMBER(DI179),ISNUMBER(EQ179)),DI179/EQ179*453.59237,"")</f>
      </c>
      <c r="BI70" s="196"/>
      <c r="BJ70" s="196"/>
      <c r="BK70" s="196"/>
      <c r="BL70" s="70"/>
      <c r="BM70" s="224">
        <f>IF(ISNUMBER(BH70),BH70*0.002204622621849,"")</f>
      </c>
      <c r="BN70" s="225"/>
      <c r="BO70" s="225"/>
      <c r="BP70" s="225"/>
      <c r="BQ70" s="19"/>
      <c r="BR70" s="194">
        <f>IF(AND(ISNUMBER(BH70),ISNUMBER($BH$79)),BH70/$BH$79*100,"")</f>
      </c>
      <c r="BS70" s="194"/>
      <c r="BT70" s="194"/>
      <c r="BU70" s="194"/>
      <c r="BV70" s="19"/>
      <c r="BW70" s="183">
        <f>IF(OR(A70="!",ISNUMBER(EF179)),"!","")</f>
      </c>
      <c r="BX70" s="133">
        <f>IF(OR(AL70="",AW70="M",AW70="S"),BR70,"")</f>
      </c>
      <c r="BY70" s="165" t="s">
        <v>52</v>
      </c>
      <c r="BZ70" s="165"/>
      <c r="CA70" s="165"/>
      <c r="CB70" s="165"/>
      <c r="CC70" s="165"/>
      <c r="CD70" s="165"/>
      <c r="CE70" s="165"/>
      <c r="CF70" s="165"/>
      <c r="CG70" s="165"/>
      <c r="CH70" s="165"/>
      <c r="CI70" s="165"/>
      <c r="CJ70" s="165"/>
      <c r="CK70" s="165"/>
      <c r="CL70" s="165"/>
      <c r="CM70" s="165"/>
      <c r="CN70" s="165"/>
      <c r="CO70" s="165"/>
      <c r="CP70" s="165"/>
      <c r="CQ70" s="144">
        <f>IF(AND(ISNUMBER(CQ67),ISNUMBER(CQ73)),CQ67-CQ73,"")</f>
      </c>
      <c r="CR70" s="144"/>
      <c r="CS70" s="144"/>
      <c r="CT70" s="144"/>
      <c r="CU70" s="132" t="s">
        <v>6</v>
      </c>
      <c r="CV70" s="132"/>
      <c r="CW70" s="132"/>
      <c r="CX70" s="132"/>
      <c r="CY70" s="179" t="s">
        <v>1</v>
      </c>
      <c r="CZ70" s="223">
        <f>IF(ISNUMBER(CQ70),CQ70*0.2641720523582,"")</f>
      </c>
      <c r="DA70" s="223"/>
      <c r="DB70" s="223"/>
      <c r="DC70" s="223"/>
      <c r="DD70" s="164" t="s">
        <v>7</v>
      </c>
      <c r="DE70" s="164"/>
      <c r="DF70" s="164"/>
      <c r="DG70" s="43"/>
      <c r="DH70" s="72"/>
      <c r="DI70" s="143" t="s">
        <v>107</v>
      </c>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43"/>
      <c r="ER70" s="19"/>
      <c r="ES70" s="200"/>
      <c r="ET70" s="200"/>
      <c r="EU70" s="200"/>
      <c r="EV70" s="200"/>
      <c r="EW70" s="200"/>
      <c r="EX70" s="18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64"/>
      <c r="FV70" s="201"/>
      <c r="FW70" s="201"/>
      <c r="FX70" s="201"/>
      <c r="FY70" s="201"/>
      <c r="FZ70" s="201"/>
      <c r="GA70" s="19"/>
      <c r="GB70" s="45"/>
    </row>
    <row r="71" spans="1:184" ht="7.5" customHeight="1">
      <c r="A71" s="183"/>
      <c r="B71" s="19"/>
      <c r="C71" s="141"/>
      <c r="D71" s="142"/>
      <c r="E71" s="142"/>
      <c r="F71" s="142"/>
      <c r="G71" s="142"/>
      <c r="H71" s="142"/>
      <c r="I71" s="142"/>
      <c r="J71" s="142"/>
      <c r="K71" s="142"/>
      <c r="L71" s="142"/>
      <c r="M71" s="136"/>
      <c r="N71" s="136"/>
      <c r="O71" s="19"/>
      <c r="P71" s="204"/>
      <c r="Q71" s="204"/>
      <c r="R71" s="204"/>
      <c r="S71" s="19"/>
      <c r="T71" s="194"/>
      <c r="U71" s="194"/>
      <c r="V71" s="194"/>
      <c r="W71" s="19"/>
      <c r="X71" s="262"/>
      <c r="Y71" s="263"/>
      <c r="Z71" s="263"/>
      <c r="AA71" s="263"/>
      <c r="AB71" s="19"/>
      <c r="AC71" s="144"/>
      <c r="AD71" s="144"/>
      <c r="AE71" s="144"/>
      <c r="AF71" s="144"/>
      <c r="AG71" s="19"/>
      <c r="AH71" s="146"/>
      <c r="AI71" s="146"/>
      <c r="AJ71" s="146"/>
      <c r="AK71" s="146"/>
      <c r="AL71" s="145"/>
      <c r="AM71" s="137"/>
      <c r="AN71" s="137"/>
      <c r="AO71" s="137"/>
      <c r="AP71" s="137"/>
      <c r="AQ71" s="137"/>
      <c r="AR71" s="137"/>
      <c r="AS71" s="137"/>
      <c r="AT71" s="137"/>
      <c r="AU71" s="137"/>
      <c r="AV71" s="137"/>
      <c r="AW71" s="138"/>
      <c r="AX71" s="138"/>
      <c r="AY71" s="130"/>
      <c r="AZ71" s="204"/>
      <c r="BA71" s="204"/>
      <c r="BB71" s="204"/>
      <c r="BC71" s="130"/>
      <c r="BD71" s="194"/>
      <c r="BE71" s="194"/>
      <c r="BF71" s="194"/>
      <c r="BG71" s="130"/>
      <c r="BH71" s="197"/>
      <c r="BI71" s="198"/>
      <c r="BJ71" s="198"/>
      <c r="BK71" s="198"/>
      <c r="BL71" s="70"/>
      <c r="BM71" s="226"/>
      <c r="BN71" s="227"/>
      <c r="BO71" s="227"/>
      <c r="BP71" s="227"/>
      <c r="BQ71" s="19"/>
      <c r="BR71" s="194"/>
      <c r="BS71" s="194"/>
      <c r="BT71" s="194"/>
      <c r="BU71" s="194"/>
      <c r="BV71" s="19"/>
      <c r="BW71" s="183"/>
      <c r="BX71" s="133"/>
      <c r="BY71" s="165"/>
      <c r="BZ71" s="165"/>
      <c r="CA71" s="165"/>
      <c r="CB71" s="165"/>
      <c r="CC71" s="165"/>
      <c r="CD71" s="165"/>
      <c r="CE71" s="165"/>
      <c r="CF71" s="165"/>
      <c r="CG71" s="165"/>
      <c r="CH71" s="165"/>
      <c r="CI71" s="165"/>
      <c r="CJ71" s="165"/>
      <c r="CK71" s="165"/>
      <c r="CL71" s="165"/>
      <c r="CM71" s="165"/>
      <c r="CN71" s="165"/>
      <c r="CO71" s="165"/>
      <c r="CP71" s="165"/>
      <c r="CQ71" s="144"/>
      <c r="CR71" s="144"/>
      <c r="CS71" s="144"/>
      <c r="CT71" s="144"/>
      <c r="CU71" s="132"/>
      <c r="CV71" s="132"/>
      <c r="CW71" s="132"/>
      <c r="CX71" s="132"/>
      <c r="CY71" s="212"/>
      <c r="CZ71" s="223"/>
      <c r="DA71" s="223"/>
      <c r="DB71" s="223"/>
      <c r="DC71" s="223"/>
      <c r="DD71" s="164"/>
      <c r="DE71" s="164"/>
      <c r="DF71" s="164"/>
      <c r="DG71" s="43"/>
      <c r="DH71" s="72"/>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43"/>
      <c r="ER71" s="67"/>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19"/>
      <c r="GB71" s="45"/>
    </row>
    <row r="72" spans="1:184" ht="7.5" customHeight="1" thickBot="1">
      <c r="A72" s="72"/>
      <c r="B72" s="19"/>
      <c r="C72" s="19"/>
      <c r="D72" s="19"/>
      <c r="E72" s="19"/>
      <c r="F72" s="19"/>
      <c r="G72" s="19"/>
      <c r="H72" s="19"/>
      <c r="I72" s="19"/>
      <c r="J72" s="19"/>
      <c r="K72" s="19"/>
      <c r="L72" s="19"/>
      <c r="M72" s="19"/>
      <c r="N72" s="19"/>
      <c r="O72" s="19"/>
      <c r="P72" s="64"/>
      <c r="Q72" s="64"/>
      <c r="R72" s="64"/>
      <c r="S72" s="19"/>
      <c r="T72" s="66"/>
      <c r="U72" s="66"/>
      <c r="V72" s="66"/>
      <c r="W72" s="19"/>
      <c r="X72" s="73"/>
      <c r="Y72" s="73"/>
      <c r="Z72" s="73"/>
      <c r="AA72" s="73"/>
      <c r="AB72" s="19"/>
      <c r="AC72" s="19"/>
      <c r="AD72" s="19"/>
      <c r="AE72" s="19"/>
      <c r="AF72" s="19"/>
      <c r="AG72" s="19"/>
      <c r="AH72" s="66"/>
      <c r="AI72" s="66"/>
      <c r="AJ72" s="66"/>
      <c r="AK72" s="66"/>
      <c r="AL72" s="127"/>
      <c r="AM72" s="19"/>
      <c r="AN72" s="19"/>
      <c r="AO72" s="19"/>
      <c r="AP72" s="19"/>
      <c r="AQ72" s="19"/>
      <c r="AR72" s="19"/>
      <c r="AS72" s="19"/>
      <c r="AT72" s="19"/>
      <c r="AU72" s="19"/>
      <c r="AV72" s="19"/>
      <c r="AW72" s="19"/>
      <c r="AX72" s="19"/>
      <c r="AY72" s="74"/>
      <c r="AZ72" s="64"/>
      <c r="BA72" s="64"/>
      <c r="BB72" s="64"/>
      <c r="BC72" s="74"/>
      <c r="BD72" s="66"/>
      <c r="BE72" s="66"/>
      <c r="BF72" s="66"/>
      <c r="BG72" s="74"/>
      <c r="BH72" s="75"/>
      <c r="BI72" s="75"/>
      <c r="BJ72" s="75"/>
      <c r="BK72" s="75"/>
      <c r="BL72" s="70"/>
      <c r="BM72" s="76"/>
      <c r="BN72" s="76"/>
      <c r="BO72" s="76"/>
      <c r="BP72" s="76"/>
      <c r="BQ72" s="19"/>
      <c r="BR72" s="66"/>
      <c r="BS72" s="66"/>
      <c r="BT72" s="66"/>
      <c r="BU72" s="66"/>
      <c r="BV72" s="19"/>
      <c r="BW72" s="72"/>
      <c r="BX72" s="51"/>
      <c r="BY72" s="19"/>
      <c r="BZ72" s="19"/>
      <c r="CA72" s="19"/>
      <c r="CB72" s="19"/>
      <c r="CC72" s="19"/>
      <c r="CD72" s="19"/>
      <c r="CE72" s="19"/>
      <c r="CF72" s="19"/>
      <c r="CG72" s="19"/>
      <c r="CH72" s="19"/>
      <c r="CI72" s="19"/>
      <c r="CJ72" s="19"/>
      <c r="CK72" s="19"/>
      <c r="CL72" s="19"/>
      <c r="CM72" s="19"/>
      <c r="CN72" s="19"/>
      <c r="CO72" s="19"/>
      <c r="CP72" s="19"/>
      <c r="CQ72" s="42"/>
      <c r="CR72" s="42"/>
      <c r="CS72" s="42"/>
      <c r="CT72" s="42"/>
      <c r="CU72" s="19"/>
      <c r="CV72" s="19"/>
      <c r="CW72" s="19"/>
      <c r="CX72" s="19"/>
      <c r="CY72" s="19"/>
      <c r="CZ72" s="19"/>
      <c r="DA72" s="19"/>
      <c r="DB72" s="19"/>
      <c r="DC72" s="19"/>
      <c r="DD72" s="19"/>
      <c r="DE72" s="19"/>
      <c r="DF72" s="19"/>
      <c r="DG72" s="43"/>
      <c r="DH72" s="72"/>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43"/>
      <c r="ER72" s="19"/>
      <c r="ES72" s="200"/>
      <c r="ET72" s="200"/>
      <c r="EU72" s="200"/>
      <c r="EV72" s="200"/>
      <c r="EW72" s="200"/>
      <c r="EX72" s="18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64"/>
      <c r="FV72" s="201"/>
      <c r="FW72" s="201"/>
      <c r="FX72" s="201"/>
      <c r="FY72" s="201"/>
      <c r="FZ72" s="201"/>
      <c r="GA72" s="19"/>
      <c r="GB72" s="45"/>
    </row>
    <row r="73" spans="1:184" ht="7.5" customHeight="1">
      <c r="A73" s="183">
        <f>IF(ISNUMBER(EF151),"!","")</f>
      </c>
      <c r="B73" s="19"/>
      <c r="C73" s="139"/>
      <c r="D73" s="140"/>
      <c r="E73" s="140"/>
      <c r="F73" s="140"/>
      <c r="G73" s="140"/>
      <c r="H73" s="140"/>
      <c r="I73" s="140"/>
      <c r="J73" s="140"/>
      <c r="K73" s="140"/>
      <c r="L73" s="140"/>
      <c r="M73" s="135"/>
      <c r="N73" s="135"/>
      <c r="O73" s="19"/>
      <c r="P73" s="204"/>
      <c r="Q73" s="204"/>
      <c r="R73" s="204"/>
      <c r="S73" s="19"/>
      <c r="T73" s="194">
        <f>IF(P73&gt;0,P73/1.97,"")</f>
      </c>
      <c r="U73" s="194"/>
      <c r="V73" s="194"/>
      <c r="W73" s="19"/>
      <c r="X73" s="260"/>
      <c r="Y73" s="261"/>
      <c r="Z73" s="261"/>
      <c r="AA73" s="261"/>
      <c r="AB73" s="19"/>
      <c r="AC73" s="144">
        <f>IF(ISNUMBER(X73),X73*0.002204622621849,"")</f>
      </c>
      <c r="AD73" s="144"/>
      <c r="AE73" s="144"/>
      <c r="AF73" s="144"/>
      <c r="AG73" s="19"/>
      <c r="AH73" s="146">
        <f>IF(AND(ISNUMBER(X73),ISNUMBER($X$79)),X73/$X$79*100,"")</f>
      </c>
      <c r="AI73" s="146"/>
      <c r="AJ73" s="146"/>
      <c r="AK73" s="146"/>
      <c r="AL73" s="145">
        <f>IF(OR(AW73="B",M73="B"),"B","")</f>
      </c>
      <c r="AM73" s="137"/>
      <c r="AN73" s="137"/>
      <c r="AO73" s="137"/>
      <c r="AP73" s="137"/>
      <c r="AQ73" s="137"/>
      <c r="AR73" s="137"/>
      <c r="AS73" s="137"/>
      <c r="AT73" s="137"/>
      <c r="AU73" s="137"/>
      <c r="AV73" s="137"/>
      <c r="AW73" s="138"/>
      <c r="AX73" s="138"/>
      <c r="AY73" s="130">
        <f>IF(C73&gt;0,IF(AM73&gt;0,AM73,C73),"")</f>
      </c>
      <c r="AZ73" s="204"/>
      <c r="BA73" s="204"/>
      <c r="BB73" s="204"/>
      <c r="BC73" s="130">
        <f>IF(P73&gt;0,IF(ISNUMBER(BD73),AZ73,P73),"")</f>
      </c>
      <c r="BD73" s="194">
        <f>IF(AZ73&gt;0,AZ73/1.97,"")</f>
      </c>
      <c r="BE73" s="194"/>
      <c r="BF73" s="194"/>
      <c r="BG73" s="130">
        <f>IF(ISNUMBER(T73),IF(ISNUMBER(BD73),BD73,T73),"")</f>
      </c>
      <c r="BH73" s="195">
        <f>IF(AND(ISNUMBER(DI182),ISNUMBER(EQ182)),DI182/EQ182*453.59237,"")</f>
      </c>
      <c r="BI73" s="196"/>
      <c r="BJ73" s="196"/>
      <c r="BK73" s="196"/>
      <c r="BL73" s="70"/>
      <c r="BM73" s="224">
        <f>IF(ISNUMBER(BH73),BH73*0.002204622621849,"")</f>
      </c>
      <c r="BN73" s="225"/>
      <c r="BO73" s="225"/>
      <c r="BP73" s="225"/>
      <c r="BQ73" s="19"/>
      <c r="BR73" s="194">
        <f>IF(AND(ISNUMBER(BH73),ISNUMBER($BH$79)),BH73/$BH$79*100,"")</f>
      </c>
      <c r="BS73" s="194"/>
      <c r="BT73" s="194"/>
      <c r="BU73" s="194"/>
      <c r="BV73" s="19"/>
      <c r="BW73" s="183">
        <f>IF(OR(A73="!",ISNUMBER(EF182)),"!","")</f>
      </c>
      <c r="BX73" s="133">
        <f>IF(OR(AL73="",AW73="M",AW73="S"),BR73,"")</f>
      </c>
      <c r="BY73" s="165" t="s">
        <v>333</v>
      </c>
      <c r="BZ73" s="165"/>
      <c r="CA73" s="165"/>
      <c r="CB73" s="165"/>
      <c r="CC73" s="165"/>
      <c r="CD73" s="165"/>
      <c r="CE73" s="165"/>
      <c r="CF73" s="165"/>
      <c r="CG73" s="165"/>
      <c r="CH73" s="165"/>
      <c r="CI73" s="165"/>
      <c r="CJ73" s="165"/>
      <c r="CK73" s="165"/>
      <c r="CL73" s="165"/>
      <c r="CM73" s="165"/>
      <c r="CN73" s="165"/>
      <c r="CO73" s="165"/>
      <c r="CP73" s="165"/>
      <c r="CQ73" s="222"/>
      <c r="CR73" s="222"/>
      <c r="CS73" s="222"/>
      <c r="CT73" s="222"/>
      <c r="CU73" s="132" t="s">
        <v>6</v>
      </c>
      <c r="CV73" s="132"/>
      <c r="CW73" s="132"/>
      <c r="CX73" s="132"/>
      <c r="CY73" s="179" t="s">
        <v>1</v>
      </c>
      <c r="CZ73" s="223">
        <f>IF(ISNUMBER(CQ73),CQ73*0.2641720523582,"")</f>
      </c>
      <c r="DA73" s="223"/>
      <c r="DB73" s="223"/>
      <c r="DC73" s="223"/>
      <c r="DD73" s="164" t="s">
        <v>7</v>
      </c>
      <c r="DE73" s="164"/>
      <c r="DF73" s="164"/>
      <c r="DG73" s="43"/>
      <c r="DH73" s="183">
        <f>IF(EA73&gt;0,"!","")</f>
      </c>
      <c r="DI73" s="165" t="s">
        <v>304</v>
      </c>
      <c r="DJ73" s="165"/>
      <c r="DK73" s="165"/>
      <c r="DL73" s="165"/>
      <c r="DM73" s="165"/>
      <c r="DN73" s="165"/>
      <c r="DO73" s="165"/>
      <c r="DP73" s="165"/>
      <c r="DQ73" s="165"/>
      <c r="DR73" s="165"/>
      <c r="DS73" s="165"/>
      <c r="DT73" s="165"/>
      <c r="DU73" s="165"/>
      <c r="DV73" s="165"/>
      <c r="DW73" s="165"/>
      <c r="DX73" s="165"/>
      <c r="DY73" s="165"/>
      <c r="DZ73" s="165"/>
      <c r="EA73" s="222"/>
      <c r="EB73" s="222"/>
      <c r="EC73" s="222"/>
      <c r="ED73" s="222"/>
      <c r="EE73" s="132" t="s">
        <v>6</v>
      </c>
      <c r="EF73" s="132"/>
      <c r="EG73" s="132"/>
      <c r="EH73" s="132"/>
      <c r="EI73" s="179" t="s">
        <v>1</v>
      </c>
      <c r="EJ73" s="144">
        <f>IF(EA73&gt;0,EA73*0.2641720523582,"")</f>
      </c>
      <c r="EK73" s="144"/>
      <c r="EL73" s="144"/>
      <c r="EM73" s="144"/>
      <c r="EN73" s="164" t="s">
        <v>7</v>
      </c>
      <c r="EO73" s="164"/>
      <c r="EP73" s="164"/>
      <c r="EQ73" s="43"/>
      <c r="ER73" s="19"/>
      <c r="ES73" s="200"/>
      <c r="ET73" s="200"/>
      <c r="EU73" s="200"/>
      <c r="EV73" s="200"/>
      <c r="EW73" s="200"/>
      <c r="EX73" s="18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64"/>
      <c r="FV73" s="201"/>
      <c r="FW73" s="201"/>
      <c r="FX73" s="201"/>
      <c r="FY73" s="201"/>
      <c r="FZ73" s="201"/>
      <c r="GA73" s="19"/>
      <c r="GB73" s="45"/>
    </row>
    <row r="74" spans="1:184" ht="7.5" customHeight="1">
      <c r="A74" s="183"/>
      <c r="B74" s="19"/>
      <c r="C74" s="141"/>
      <c r="D74" s="142"/>
      <c r="E74" s="142"/>
      <c r="F74" s="142"/>
      <c r="G74" s="142"/>
      <c r="H74" s="142"/>
      <c r="I74" s="142"/>
      <c r="J74" s="142"/>
      <c r="K74" s="142"/>
      <c r="L74" s="142"/>
      <c r="M74" s="136"/>
      <c r="N74" s="136"/>
      <c r="O74" s="19"/>
      <c r="P74" s="204"/>
      <c r="Q74" s="204"/>
      <c r="R74" s="204"/>
      <c r="S74" s="19"/>
      <c r="T74" s="194"/>
      <c r="U74" s="194"/>
      <c r="V74" s="194"/>
      <c r="W74" s="19"/>
      <c r="X74" s="262"/>
      <c r="Y74" s="263"/>
      <c r="Z74" s="263"/>
      <c r="AA74" s="263"/>
      <c r="AB74" s="19"/>
      <c r="AC74" s="144"/>
      <c r="AD74" s="144"/>
      <c r="AE74" s="144"/>
      <c r="AF74" s="144"/>
      <c r="AG74" s="19"/>
      <c r="AH74" s="146"/>
      <c r="AI74" s="146"/>
      <c r="AJ74" s="146"/>
      <c r="AK74" s="146"/>
      <c r="AL74" s="145"/>
      <c r="AM74" s="137"/>
      <c r="AN74" s="137"/>
      <c r="AO74" s="137"/>
      <c r="AP74" s="137"/>
      <c r="AQ74" s="137"/>
      <c r="AR74" s="137"/>
      <c r="AS74" s="137"/>
      <c r="AT74" s="137"/>
      <c r="AU74" s="137"/>
      <c r="AV74" s="137"/>
      <c r="AW74" s="138"/>
      <c r="AX74" s="138"/>
      <c r="AY74" s="130"/>
      <c r="AZ74" s="204"/>
      <c r="BA74" s="204"/>
      <c r="BB74" s="204"/>
      <c r="BC74" s="130"/>
      <c r="BD74" s="194"/>
      <c r="BE74" s="194"/>
      <c r="BF74" s="194"/>
      <c r="BG74" s="130"/>
      <c r="BH74" s="197"/>
      <c r="BI74" s="198"/>
      <c r="BJ74" s="198"/>
      <c r="BK74" s="198"/>
      <c r="BL74" s="70"/>
      <c r="BM74" s="226"/>
      <c r="BN74" s="227"/>
      <c r="BO74" s="227"/>
      <c r="BP74" s="227"/>
      <c r="BQ74" s="19"/>
      <c r="BR74" s="194"/>
      <c r="BS74" s="194"/>
      <c r="BT74" s="194"/>
      <c r="BU74" s="194"/>
      <c r="BV74" s="19"/>
      <c r="BW74" s="183"/>
      <c r="BX74" s="133"/>
      <c r="BY74" s="165"/>
      <c r="BZ74" s="165"/>
      <c r="CA74" s="165"/>
      <c r="CB74" s="165"/>
      <c r="CC74" s="165"/>
      <c r="CD74" s="165"/>
      <c r="CE74" s="165"/>
      <c r="CF74" s="165"/>
      <c r="CG74" s="165"/>
      <c r="CH74" s="165"/>
      <c r="CI74" s="165"/>
      <c r="CJ74" s="165"/>
      <c r="CK74" s="165"/>
      <c r="CL74" s="165"/>
      <c r="CM74" s="165"/>
      <c r="CN74" s="165"/>
      <c r="CO74" s="165"/>
      <c r="CP74" s="165"/>
      <c r="CQ74" s="222"/>
      <c r="CR74" s="222"/>
      <c r="CS74" s="222"/>
      <c r="CT74" s="222"/>
      <c r="CU74" s="132"/>
      <c r="CV74" s="132"/>
      <c r="CW74" s="132"/>
      <c r="CX74" s="132"/>
      <c r="CY74" s="212"/>
      <c r="CZ74" s="223"/>
      <c r="DA74" s="223"/>
      <c r="DB74" s="223"/>
      <c r="DC74" s="223"/>
      <c r="DD74" s="164"/>
      <c r="DE74" s="164"/>
      <c r="DF74" s="164"/>
      <c r="DG74" s="43"/>
      <c r="DH74" s="183"/>
      <c r="DI74" s="165"/>
      <c r="DJ74" s="165"/>
      <c r="DK74" s="165"/>
      <c r="DL74" s="165"/>
      <c r="DM74" s="165"/>
      <c r="DN74" s="165"/>
      <c r="DO74" s="165"/>
      <c r="DP74" s="165"/>
      <c r="DQ74" s="165"/>
      <c r="DR74" s="165"/>
      <c r="DS74" s="165"/>
      <c r="DT74" s="165"/>
      <c r="DU74" s="165"/>
      <c r="DV74" s="165"/>
      <c r="DW74" s="165"/>
      <c r="DX74" s="165"/>
      <c r="DY74" s="165"/>
      <c r="DZ74" s="165"/>
      <c r="EA74" s="222"/>
      <c r="EB74" s="222"/>
      <c r="EC74" s="222"/>
      <c r="ED74" s="222"/>
      <c r="EE74" s="132"/>
      <c r="EF74" s="132"/>
      <c r="EG74" s="132"/>
      <c r="EH74" s="132"/>
      <c r="EI74" s="212"/>
      <c r="EJ74" s="144"/>
      <c r="EK74" s="144"/>
      <c r="EL74" s="144"/>
      <c r="EM74" s="144"/>
      <c r="EN74" s="164"/>
      <c r="EO74" s="164"/>
      <c r="EP74" s="164"/>
      <c r="EQ74" s="43"/>
      <c r="ER74" s="67"/>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19"/>
      <c r="GB74" s="45"/>
    </row>
    <row r="75" spans="1:184" ht="7.5" customHeight="1" thickBot="1">
      <c r="A75" s="72"/>
      <c r="B75" s="19"/>
      <c r="C75" s="19"/>
      <c r="D75" s="19"/>
      <c r="E75" s="19"/>
      <c r="F75" s="19"/>
      <c r="G75" s="19"/>
      <c r="H75" s="19"/>
      <c r="I75" s="19"/>
      <c r="J75" s="19"/>
      <c r="K75" s="19"/>
      <c r="L75" s="19"/>
      <c r="M75" s="19"/>
      <c r="N75" s="19"/>
      <c r="O75" s="19"/>
      <c r="P75" s="64"/>
      <c r="Q75" s="64"/>
      <c r="R75" s="64"/>
      <c r="S75" s="19"/>
      <c r="T75" s="66"/>
      <c r="U75" s="66"/>
      <c r="V75" s="66"/>
      <c r="W75" s="19"/>
      <c r="X75" s="73"/>
      <c r="Y75" s="73"/>
      <c r="Z75" s="73"/>
      <c r="AA75" s="73"/>
      <c r="AB75" s="19"/>
      <c r="AC75" s="19"/>
      <c r="AD75" s="19"/>
      <c r="AE75" s="19"/>
      <c r="AF75" s="19"/>
      <c r="AG75" s="19"/>
      <c r="AH75" s="66"/>
      <c r="AI75" s="66"/>
      <c r="AJ75" s="66"/>
      <c r="AK75" s="66"/>
      <c r="AL75" s="127"/>
      <c r="AM75" s="19"/>
      <c r="AN75" s="19"/>
      <c r="AO75" s="19"/>
      <c r="AP75" s="19"/>
      <c r="AQ75" s="19"/>
      <c r="AR75" s="19"/>
      <c r="AS75" s="19"/>
      <c r="AT75" s="19"/>
      <c r="AU75" s="19"/>
      <c r="AV75" s="19"/>
      <c r="AW75" s="19"/>
      <c r="AX75" s="19"/>
      <c r="AY75" s="74"/>
      <c r="AZ75" s="64"/>
      <c r="BA75" s="64"/>
      <c r="BB75" s="64"/>
      <c r="BC75" s="74"/>
      <c r="BD75" s="66"/>
      <c r="BE75" s="66"/>
      <c r="BF75" s="66"/>
      <c r="BG75" s="74"/>
      <c r="BH75" s="75"/>
      <c r="BI75" s="75"/>
      <c r="BJ75" s="75"/>
      <c r="BK75" s="75"/>
      <c r="BL75" s="70"/>
      <c r="BM75" s="76"/>
      <c r="BN75" s="76"/>
      <c r="BO75" s="76"/>
      <c r="BP75" s="76"/>
      <c r="BQ75" s="19"/>
      <c r="BR75" s="66"/>
      <c r="BS75" s="66"/>
      <c r="BT75" s="66"/>
      <c r="BU75" s="66"/>
      <c r="BV75" s="19"/>
      <c r="BW75" s="72"/>
      <c r="BX75" s="51"/>
      <c r="BY75" s="19"/>
      <c r="BZ75" s="19"/>
      <c r="CA75" s="19"/>
      <c r="CB75" s="19"/>
      <c r="CC75" s="19"/>
      <c r="CD75" s="19"/>
      <c r="CE75" s="19"/>
      <c r="CF75" s="19"/>
      <c r="CG75" s="19"/>
      <c r="CH75" s="19"/>
      <c r="CI75" s="19"/>
      <c r="CJ75" s="19"/>
      <c r="CK75" s="19"/>
      <c r="CL75" s="19"/>
      <c r="CM75" s="19"/>
      <c r="CN75" s="19"/>
      <c r="CO75" s="19"/>
      <c r="CP75" s="19"/>
      <c r="CQ75" s="42"/>
      <c r="CR75" s="42"/>
      <c r="CS75" s="42"/>
      <c r="CT75" s="42"/>
      <c r="CU75" s="19"/>
      <c r="CV75" s="19"/>
      <c r="CW75" s="19"/>
      <c r="CX75" s="19"/>
      <c r="CY75" s="19"/>
      <c r="CZ75" s="19"/>
      <c r="DA75" s="19"/>
      <c r="DB75" s="19"/>
      <c r="DC75" s="19"/>
      <c r="DD75" s="19"/>
      <c r="DE75" s="19"/>
      <c r="DF75" s="19"/>
      <c r="DG75" s="43"/>
      <c r="DH75" s="72"/>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43"/>
      <c r="ER75" s="19"/>
      <c r="ES75" s="200"/>
      <c r="ET75" s="200"/>
      <c r="EU75" s="200"/>
      <c r="EV75" s="200"/>
      <c r="EW75" s="200"/>
      <c r="EX75" s="18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64"/>
      <c r="FV75" s="201"/>
      <c r="FW75" s="201"/>
      <c r="FX75" s="201"/>
      <c r="FY75" s="201"/>
      <c r="FZ75" s="201"/>
      <c r="GA75" s="19"/>
      <c r="GB75" s="45"/>
    </row>
    <row r="76" spans="1:184" ht="7.5" customHeight="1">
      <c r="A76" s="183">
        <f>IF(ISNUMBER(EF154),"!","")</f>
      </c>
      <c r="B76" s="19"/>
      <c r="C76" s="139"/>
      <c r="D76" s="140"/>
      <c r="E76" s="140"/>
      <c r="F76" s="140"/>
      <c r="G76" s="140"/>
      <c r="H76" s="140"/>
      <c r="I76" s="140"/>
      <c r="J76" s="140"/>
      <c r="K76" s="140"/>
      <c r="L76" s="140"/>
      <c r="M76" s="135"/>
      <c r="N76" s="135"/>
      <c r="O76" s="19"/>
      <c r="P76" s="204"/>
      <c r="Q76" s="204"/>
      <c r="R76" s="204"/>
      <c r="S76" s="19"/>
      <c r="T76" s="194">
        <f>IF(P76&gt;0,P76/1.97,"")</f>
      </c>
      <c r="U76" s="194"/>
      <c r="V76" s="194"/>
      <c r="W76" s="19"/>
      <c r="X76" s="260"/>
      <c r="Y76" s="261"/>
      <c r="Z76" s="261"/>
      <c r="AA76" s="261"/>
      <c r="AB76" s="19"/>
      <c r="AC76" s="144">
        <f>IF(ISNUMBER(X76),X76*0.002204622621849,"")</f>
      </c>
      <c r="AD76" s="144"/>
      <c r="AE76" s="144"/>
      <c r="AF76" s="144"/>
      <c r="AG76" s="19"/>
      <c r="AH76" s="146">
        <f>IF(AND(ISNUMBER(X76),ISNUMBER($X$79)),X76/$X$79*100,"")</f>
      </c>
      <c r="AI76" s="146"/>
      <c r="AJ76" s="146"/>
      <c r="AK76" s="146"/>
      <c r="AL76" s="145">
        <f>IF(OR(AW76="B",M76="B"),"B","")</f>
      </c>
      <c r="AM76" s="137"/>
      <c r="AN76" s="137"/>
      <c r="AO76" s="137"/>
      <c r="AP76" s="137"/>
      <c r="AQ76" s="137"/>
      <c r="AR76" s="137"/>
      <c r="AS76" s="137"/>
      <c r="AT76" s="137"/>
      <c r="AU76" s="137"/>
      <c r="AV76" s="137"/>
      <c r="AW76" s="138"/>
      <c r="AX76" s="138"/>
      <c r="AY76" s="130">
        <f>IF(C76&gt;0,IF(AM76&gt;0,AM76,C76),"")</f>
      </c>
      <c r="AZ76" s="204"/>
      <c r="BA76" s="204"/>
      <c r="BB76" s="204"/>
      <c r="BC76" s="130">
        <f>IF(P76&gt;0,IF(ISNUMBER(BD76),AZ76,P76),"")</f>
      </c>
      <c r="BD76" s="194">
        <f>IF(AZ76&gt;0,AZ76/1.97,"")</f>
      </c>
      <c r="BE76" s="194"/>
      <c r="BF76" s="194"/>
      <c r="BG76" s="130">
        <f>IF(ISNUMBER(T76),IF(ISNUMBER(BD76),BD76,T76),"")</f>
      </c>
      <c r="BH76" s="195">
        <f>IF(AND(ISNUMBER(DI185),ISNUMBER(EQ185)),DI185/EQ185*453.59237,"")</f>
      </c>
      <c r="BI76" s="196"/>
      <c r="BJ76" s="196"/>
      <c r="BK76" s="196"/>
      <c r="BL76" s="70"/>
      <c r="BM76" s="224">
        <f>IF(ISNUMBER(BH76),BH76*0.002204622621849,"")</f>
      </c>
      <c r="BN76" s="225"/>
      <c r="BO76" s="225"/>
      <c r="BP76" s="225"/>
      <c r="BQ76" s="19"/>
      <c r="BR76" s="194">
        <f>IF(AND(ISNUMBER(BH76),ISNUMBER($BH$79)),BH76/$BH$79*100,"")</f>
      </c>
      <c r="BS76" s="194"/>
      <c r="BT76" s="194"/>
      <c r="BU76" s="194"/>
      <c r="BV76" s="19"/>
      <c r="BW76" s="183">
        <f>IF(OR(A76="!",ISNUMBER(EF185)),"!","")</f>
      </c>
      <c r="BX76" s="133">
        <f>IF(OR(AL76="",AW76="M",AW76="S"),BR76,"")</f>
      </c>
      <c r="BY76" s="170" t="s">
        <v>337</v>
      </c>
      <c r="BZ76" s="170"/>
      <c r="CA76" s="170"/>
      <c r="CB76" s="170"/>
      <c r="CC76" s="170"/>
      <c r="CD76" s="170"/>
      <c r="CE76" s="170"/>
      <c r="CF76" s="170"/>
      <c r="CG76" s="170"/>
      <c r="CH76" s="170"/>
      <c r="CI76" s="170"/>
      <c r="CJ76" s="170"/>
      <c r="CK76" s="170"/>
      <c r="CL76" s="170"/>
      <c r="CM76" s="170"/>
      <c r="CN76" s="170"/>
      <c r="CO76" s="170"/>
      <c r="CP76" s="170"/>
      <c r="CQ76" s="224">
        <f>IF(CQ73&gt;0,CQ73*0.9614,"")</f>
      </c>
      <c r="CR76" s="225"/>
      <c r="CS76" s="225"/>
      <c r="CT76" s="225"/>
      <c r="CU76" s="132" t="s">
        <v>6</v>
      </c>
      <c r="CV76" s="132"/>
      <c r="CW76" s="132"/>
      <c r="CX76" s="132"/>
      <c r="CY76" s="179" t="s">
        <v>1</v>
      </c>
      <c r="CZ76" s="150">
        <f>IF(ISNUMBER(CQ76),CQ76*0.2641720523582,"")</f>
      </c>
      <c r="DA76" s="150"/>
      <c r="DB76" s="150"/>
      <c r="DC76" s="150"/>
      <c r="DD76" s="164" t="s">
        <v>7</v>
      </c>
      <c r="DE76" s="164"/>
      <c r="DF76" s="164"/>
      <c r="DG76" s="43"/>
      <c r="DH76" s="183">
        <f>IF(EA76&gt;0,"!","")</f>
      </c>
      <c r="DI76" s="165" t="s">
        <v>28</v>
      </c>
      <c r="DJ76" s="165"/>
      <c r="DK76" s="165"/>
      <c r="DL76" s="165"/>
      <c r="DM76" s="165"/>
      <c r="DN76" s="165"/>
      <c r="DO76" s="165"/>
      <c r="DP76" s="165"/>
      <c r="DQ76" s="165"/>
      <c r="DR76" s="165"/>
      <c r="DS76" s="165"/>
      <c r="DT76" s="165"/>
      <c r="DU76" s="165"/>
      <c r="DV76" s="165"/>
      <c r="DW76" s="165"/>
      <c r="DX76" s="165"/>
      <c r="DY76" s="165"/>
      <c r="DZ76" s="165"/>
      <c r="EA76" s="222"/>
      <c r="EB76" s="222"/>
      <c r="EC76" s="222"/>
      <c r="ED76" s="222"/>
      <c r="EE76" s="132" t="s">
        <v>6</v>
      </c>
      <c r="EF76" s="132"/>
      <c r="EG76" s="132"/>
      <c r="EH76" s="132"/>
      <c r="EI76" s="179" t="s">
        <v>1</v>
      </c>
      <c r="EJ76" s="144">
        <f>IF(EA76&gt;0,EA76*0.2641720523582,"")</f>
      </c>
      <c r="EK76" s="144"/>
      <c r="EL76" s="144"/>
      <c r="EM76" s="144"/>
      <c r="EN76" s="164" t="s">
        <v>7</v>
      </c>
      <c r="EO76" s="164"/>
      <c r="EP76" s="164"/>
      <c r="EQ76" s="43"/>
      <c r="ER76" s="19"/>
      <c r="ES76" s="200"/>
      <c r="ET76" s="200"/>
      <c r="EU76" s="200"/>
      <c r="EV76" s="200"/>
      <c r="EW76" s="200"/>
      <c r="EX76" s="180"/>
      <c r="EY76" s="200"/>
      <c r="EZ76" s="200"/>
      <c r="FA76" s="200"/>
      <c r="FB76" s="200"/>
      <c r="FC76" s="200"/>
      <c r="FD76" s="200"/>
      <c r="FE76" s="200"/>
      <c r="FF76" s="200"/>
      <c r="FG76" s="200"/>
      <c r="FH76" s="200"/>
      <c r="FI76" s="200"/>
      <c r="FJ76" s="200"/>
      <c r="FK76" s="200"/>
      <c r="FL76" s="200"/>
      <c r="FM76" s="200"/>
      <c r="FN76" s="200"/>
      <c r="FO76" s="200"/>
      <c r="FP76" s="200"/>
      <c r="FQ76" s="200"/>
      <c r="FR76" s="200"/>
      <c r="FS76" s="200"/>
      <c r="FT76" s="200"/>
      <c r="FU76" s="64"/>
      <c r="FV76" s="201"/>
      <c r="FW76" s="201"/>
      <c r="FX76" s="201"/>
      <c r="FY76" s="201"/>
      <c r="FZ76" s="201"/>
      <c r="GA76" s="19"/>
      <c r="GB76" s="45"/>
    </row>
    <row r="77" spans="1:184" ht="7.5" customHeight="1">
      <c r="A77" s="183"/>
      <c r="B77" s="19"/>
      <c r="C77" s="141"/>
      <c r="D77" s="142"/>
      <c r="E77" s="142"/>
      <c r="F77" s="142"/>
      <c r="G77" s="142"/>
      <c r="H77" s="142"/>
      <c r="I77" s="142"/>
      <c r="J77" s="142"/>
      <c r="K77" s="142"/>
      <c r="L77" s="142"/>
      <c r="M77" s="136"/>
      <c r="N77" s="136"/>
      <c r="O77" s="19"/>
      <c r="P77" s="204"/>
      <c r="Q77" s="204"/>
      <c r="R77" s="204"/>
      <c r="S77" s="19"/>
      <c r="T77" s="194"/>
      <c r="U77" s="194"/>
      <c r="V77" s="194"/>
      <c r="W77" s="19"/>
      <c r="X77" s="262"/>
      <c r="Y77" s="263"/>
      <c r="Z77" s="263"/>
      <c r="AA77" s="263"/>
      <c r="AB77" s="19"/>
      <c r="AC77" s="144"/>
      <c r="AD77" s="144"/>
      <c r="AE77" s="144"/>
      <c r="AF77" s="144"/>
      <c r="AG77" s="19"/>
      <c r="AH77" s="146"/>
      <c r="AI77" s="146"/>
      <c r="AJ77" s="146"/>
      <c r="AK77" s="146"/>
      <c r="AL77" s="145"/>
      <c r="AM77" s="137"/>
      <c r="AN77" s="137"/>
      <c r="AO77" s="137"/>
      <c r="AP77" s="137"/>
      <c r="AQ77" s="137"/>
      <c r="AR77" s="137"/>
      <c r="AS77" s="137"/>
      <c r="AT77" s="137"/>
      <c r="AU77" s="137"/>
      <c r="AV77" s="137"/>
      <c r="AW77" s="138"/>
      <c r="AX77" s="138"/>
      <c r="AY77" s="130"/>
      <c r="AZ77" s="204"/>
      <c r="BA77" s="204"/>
      <c r="BB77" s="204"/>
      <c r="BC77" s="130"/>
      <c r="BD77" s="194"/>
      <c r="BE77" s="194"/>
      <c r="BF77" s="194"/>
      <c r="BG77" s="130"/>
      <c r="BH77" s="197"/>
      <c r="BI77" s="198"/>
      <c r="BJ77" s="198"/>
      <c r="BK77" s="198"/>
      <c r="BL77" s="70"/>
      <c r="BM77" s="226"/>
      <c r="BN77" s="227"/>
      <c r="BO77" s="227"/>
      <c r="BP77" s="227"/>
      <c r="BQ77" s="19"/>
      <c r="BR77" s="194"/>
      <c r="BS77" s="194"/>
      <c r="BT77" s="194"/>
      <c r="BU77" s="194"/>
      <c r="BV77" s="19"/>
      <c r="BW77" s="183"/>
      <c r="BX77" s="133"/>
      <c r="BY77" s="170"/>
      <c r="BZ77" s="170"/>
      <c r="CA77" s="170"/>
      <c r="CB77" s="170"/>
      <c r="CC77" s="170"/>
      <c r="CD77" s="170"/>
      <c r="CE77" s="170"/>
      <c r="CF77" s="170"/>
      <c r="CG77" s="170"/>
      <c r="CH77" s="170"/>
      <c r="CI77" s="170"/>
      <c r="CJ77" s="170"/>
      <c r="CK77" s="170"/>
      <c r="CL77" s="170"/>
      <c r="CM77" s="170"/>
      <c r="CN77" s="170"/>
      <c r="CO77" s="170"/>
      <c r="CP77" s="170"/>
      <c r="CQ77" s="226"/>
      <c r="CR77" s="227"/>
      <c r="CS77" s="227"/>
      <c r="CT77" s="227"/>
      <c r="CU77" s="132"/>
      <c r="CV77" s="132"/>
      <c r="CW77" s="132"/>
      <c r="CX77" s="132"/>
      <c r="CY77" s="212"/>
      <c r="CZ77" s="150"/>
      <c r="DA77" s="150"/>
      <c r="DB77" s="150"/>
      <c r="DC77" s="150"/>
      <c r="DD77" s="164"/>
      <c r="DE77" s="164"/>
      <c r="DF77" s="164"/>
      <c r="DG77" s="43"/>
      <c r="DH77" s="183"/>
      <c r="DI77" s="165"/>
      <c r="DJ77" s="165"/>
      <c r="DK77" s="165"/>
      <c r="DL77" s="165"/>
      <c r="DM77" s="165"/>
      <c r="DN77" s="165"/>
      <c r="DO77" s="165"/>
      <c r="DP77" s="165"/>
      <c r="DQ77" s="165"/>
      <c r="DR77" s="165"/>
      <c r="DS77" s="165"/>
      <c r="DT77" s="165"/>
      <c r="DU77" s="165"/>
      <c r="DV77" s="165"/>
      <c r="DW77" s="165"/>
      <c r="DX77" s="165"/>
      <c r="DY77" s="165"/>
      <c r="DZ77" s="165"/>
      <c r="EA77" s="222"/>
      <c r="EB77" s="222"/>
      <c r="EC77" s="222"/>
      <c r="ED77" s="222"/>
      <c r="EE77" s="132"/>
      <c r="EF77" s="132"/>
      <c r="EG77" s="132"/>
      <c r="EH77" s="132"/>
      <c r="EI77" s="212"/>
      <c r="EJ77" s="144"/>
      <c r="EK77" s="144"/>
      <c r="EL77" s="144"/>
      <c r="EM77" s="144"/>
      <c r="EN77" s="164"/>
      <c r="EO77" s="164"/>
      <c r="EP77" s="164"/>
      <c r="EQ77" s="43"/>
      <c r="ER77" s="67"/>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19"/>
      <c r="GB77" s="45"/>
    </row>
    <row r="78" spans="1:184" ht="7.5" customHeight="1" thickBot="1">
      <c r="A78" s="43"/>
      <c r="B78" s="19"/>
      <c r="C78" s="19"/>
      <c r="D78" s="19"/>
      <c r="E78" s="19"/>
      <c r="F78" s="19"/>
      <c r="G78" s="19"/>
      <c r="H78" s="19"/>
      <c r="I78" s="19"/>
      <c r="J78" s="19"/>
      <c r="K78" s="19"/>
      <c r="L78" s="19"/>
      <c r="M78" s="19"/>
      <c r="N78" s="19"/>
      <c r="O78" s="19"/>
      <c r="P78" s="19"/>
      <c r="Q78" s="19"/>
      <c r="R78" s="19"/>
      <c r="S78" s="19"/>
      <c r="T78" s="66"/>
      <c r="U78" s="66"/>
      <c r="V78" s="66"/>
      <c r="W78" s="19"/>
      <c r="X78" s="73"/>
      <c r="Y78" s="73"/>
      <c r="Z78" s="73"/>
      <c r="AA78" s="73"/>
      <c r="AB78" s="20"/>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74"/>
      <c r="BD78" s="19"/>
      <c r="BE78" s="19"/>
      <c r="BF78" s="19"/>
      <c r="BG78" s="74"/>
      <c r="BH78" s="73"/>
      <c r="BI78" s="73"/>
      <c r="BJ78" s="73"/>
      <c r="BK78" s="73"/>
      <c r="BL78" s="19"/>
      <c r="BM78" s="42"/>
      <c r="BN78" s="42"/>
      <c r="BO78" s="42"/>
      <c r="BP78" s="42"/>
      <c r="BQ78" s="19"/>
      <c r="BR78" s="66"/>
      <c r="BS78" s="66"/>
      <c r="BT78" s="66"/>
      <c r="BU78" s="66"/>
      <c r="BV78" s="19"/>
      <c r="BW78" s="51"/>
      <c r="BX78" s="51"/>
      <c r="BY78" s="19"/>
      <c r="BZ78" s="19"/>
      <c r="CA78" s="19"/>
      <c r="CB78" s="19"/>
      <c r="CC78" s="19"/>
      <c r="CD78" s="19"/>
      <c r="CE78" s="19"/>
      <c r="CF78" s="19"/>
      <c r="CG78" s="19"/>
      <c r="CH78" s="19"/>
      <c r="CI78" s="19"/>
      <c r="CJ78" s="19"/>
      <c r="CK78" s="19"/>
      <c r="CL78" s="19"/>
      <c r="CM78" s="19"/>
      <c r="CN78" s="19"/>
      <c r="CO78" s="19"/>
      <c r="CP78" s="19"/>
      <c r="CQ78" s="42"/>
      <c r="CR78" s="42"/>
      <c r="CS78" s="42"/>
      <c r="CT78" s="42"/>
      <c r="CU78" s="19"/>
      <c r="CV78" s="19"/>
      <c r="CW78" s="19"/>
      <c r="CX78" s="19"/>
      <c r="CY78" s="19"/>
      <c r="CZ78" s="19"/>
      <c r="DA78" s="19"/>
      <c r="DB78" s="19"/>
      <c r="DC78" s="19"/>
      <c r="DD78" s="19"/>
      <c r="DE78" s="19"/>
      <c r="DF78" s="19"/>
      <c r="DG78" s="43"/>
      <c r="DH78" s="72"/>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43"/>
      <c r="ER78" s="19"/>
      <c r="ES78" s="200"/>
      <c r="ET78" s="200"/>
      <c r="EU78" s="200"/>
      <c r="EV78" s="200"/>
      <c r="EW78" s="200"/>
      <c r="EX78" s="180"/>
      <c r="EY78" s="157"/>
      <c r="EZ78" s="157"/>
      <c r="FA78" s="157"/>
      <c r="FB78" s="157"/>
      <c r="FC78" s="157"/>
      <c r="FD78" s="157"/>
      <c r="FE78" s="157"/>
      <c r="FF78" s="157"/>
      <c r="FG78" s="157"/>
      <c r="FH78" s="157"/>
      <c r="FI78" s="157"/>
      <c r="FJ78" s="157"/>
      <c r="FK78" s="157"/>
      <c r="FL78" s="157"/>
      <c r="FM78" s="157"/>
      <c r="FN78" s="157"/>
      <c r="FO78" s="157"/>
      <c r="FP78" s="157"/>
      <c r="FQ78" s="157"/>
      <c r="FR78" s="157"/>
      <c r="FS78" s="157"/>
      <c r="FT78" s="157"/>
      <c r="FU78" s="64"/>
      <c r="FV78" s="201"/>
      <c r="FW78" s="201"/>
      <c r="FX78" s="201"/>
      <c r="FY78" s="201"/>
      <c r="FZ78" s="201"/>
      <c r="GA78" s="19"/>
      <c r="GB78" s="45"/>
    </row>
    <row r="79" spans="1:184" ht="7.5" customHeight="1">
      <c r="A79" s="43"/>
      <c r="B79" s="19"/>
      <c r="C79" s="20"/>
      <c r="D79" s="20"/>
      <c r="E79" s="20"/>
      <c r="F79" s="20"/>
      <c r="G79" s="20"/>
      <c r="H79" s="20"/>
      <c r="I79" s="20"/>
      <c r="J79" s="20"/>
      <c r="K79" s="143" t="s">
        <v>84</v>
      </c>
      <c r="L79" s="143"/>
      <c r="M79" s="143"/>
      <c r="N79" s="143"/>
      <c r="O79" s="70"/>
      <c r="P79" s="151">
        <f>IF(ISNUMBER(T79),T79*1.97,"")</f>
      </c>
      <c r="Q79" s="151"/>
      <c r="R79" s="151"/>
      <c r="S79" s="70"/>
      <c r="T79" s="194">
        <f>IF(AND(X79&lt;101,X79&gt;99),"",IF(AB79="F",IF(AND(SUM(P55:R77)&gt;0,ISNUMBER(BO86)),((IF(AND(T55&gt;0,ISNUMBER(AC55)),AC55*T55)+IF(AND(T58&gt;0,ISNUMBER(AC58)),AC58*T58)+IF(AND(T61&gt;0,ISNUMBER(AC61)),AC61*T61)+IF(AND(T64&gt;0,ISNUMBER(AC64)),AC64*T64)+IF(AND(T67&gt;0,ISNUMBER(AC67)),AC67*T67)+IF(AND(T70&gt;0,ISNUMBER(AC70)),AC70*T70)+IF(AND(T73&gt;0,ISNUMBER(AC73)),AC73*T73)+IF(AND(T76&gt;0,ISNUMBER(AC76)),AC76*T76))/$BO$86)^0.6859*1.4922,""),""))</f>
      </c>
      <c r="U79" s="194"/>
      <c r="V79" s="194"/>
      <c r="W79" s="70"/>
      <c r="X79" s="277">
        <f>IF(SUM(X55:AA77)&gt;0,SUM(X55:AA77),"")</f>
        <v>6522.657999999999</v>
      </c>
      <c r="Y79" s="277"/>
      <c r="Z79" s="277"/>
      <c r="AA79" s="277"/>
      <c r="AB79" s="130" t="str">
        <f>IF(AND(ISNUMBER(X79),X79&gt;95,X79&lt;105),"T","F")</f>
        <v>F</v>
      </c>
      <c r="AC79" s="144">
        <f>IF(ISNUMBER(X79),X79*0.002204622621849,"")</f>
        <v>14.379999381384353</v>
      </c>
      <c r="AD79" s="144"/>
      <c r="AE79" s="144"/>
      <c r="AF79" s="144"/>
      <c r="AG79" s="19"/>
      <c r="AH79" s="143">
        <f>IF(SUM(AH55:AK77)&gt;0,SUM(AH55:AK77),"")</f>
        <v>100.00000000000001</v>
      </c>
      <c r="AI79" s="143"/>
      <c r="AJ79" s="143"/>
      <c r="AK79" s="143"/>
      <c r="AL79" s="19"/>
      <c r="AM79" s="130" t="s">
        <v>106</v>
      </c>
      <c r="AN79" s="130"/>
      <c r="AO79" s="130"/>
      <c r="AP79" s="278">
        <f>IF(AND(SUM(BG55:BG77)&gt;0,ISNUMBER(BP36),ISNUMBER(BH79),BP36&gt;0,ISNUMBER(BP33),BP33&gt;0),(((IF(AND(BG55&gt;0,ISNUMBER(BM55)),BM55*BG55)+IF(AND(BG58&gt;0,ISNUMBER(BM58)),BM58*BG58)+IF(AND(BG61&gt;0,ISNUMBER(BM61)),BM61*BG61)+IF(AND(BG64&gt;0,ISNUMBER(BM64)),BM64*BG64)+IF(AND(BG67&gt;0,ISNUMBER(BM67)),BM67*BG67)+IF(AND(BG70&gt;0,ISNUMBER(BM70)),BM70*BG70)+IF(AND(BG73&gt;0,ISNUMBER(BM73)),BM73*BG73)+IF(AND(BG76&gt;0,ISNUMBER(BM76)),BM76*BG76)))),"")</f>
      </c>
      <c r="AQ79" s="278"/>
      <c r="AR79" s="278"/>
      <c r="AS79" s="278"/>
      <c r="AT79" s="278"/>
      <c r="AU79" s="143" t="s">
        <v>84</v>
      </c>
      <c r="AV79" s="143"/>
      <c r="AW79" s="143"/>
      <c r="AX79" s="143"/>
      <c r="AY79" s="70"/>
      <c r="AZ79" s="151">
        <f>IF(ISNUMBER(BD79),BD79*1.97,"")</f>
      </c>
      <c r="BA79" s="151"/>
      <c r="BB79" s="151"/>
      <c r="BC79" s="83"/>
      <c r="BD79" s="194">
        <f>IF(AND(SUM(BC55:BC77)&gt;0,ISNUMBER(BP36),ISNUMBER(BH79),BP33&gt;0),((IF(AND(BG55&gt;0,ISNUMBER(BM55)),BM55*BG55)+IF(AND(BG58&gt;0,ISNUMBER(BM58)),BM58*BG58)+IF(AND(BG61&gt;0,ISNUMBER(BM61)),BM61*BG61)+IF(AND(BG64&gt;0,ISNUMBER(BM64)),BM64*BG64)+IF(AND(BG67&gt;0,ISNUMBER(BM67)),BM67*BG67)+IF(AND(BG70&gt;0,ISNUMBER(BM70)),BM70*BG70)+IF(AND(BG73&gt;0,ISNUMBER(BM73)),BM73*BG73)+IF(AND(BG76&gt;0,ISNUMBER(BM76)),BM76*BG76))/(CZ45*((CQ51+EA79)/CQ51)))^0.6859*1.4922,"")</f>
      </c>
      <c r="BE79" s="194"/>
      <c r="BF79" s="194"/>
      <c r="BG79" s="83"/>
      <c r="BH79" s="283">
        <f>IF(SUM(BH55:BK77)&gt;0,SUM(BH55:BK77),"")</f>
        <v>3094.9614852431823</v>
      </c>
      <c r="BI79" s="277"/>
      <c r="BJ79" s="277"/>
      <c r="BK79" s="277"/>
      <c r="BL79" s="19"/>
      <c r="BM79" s="144">
        <f>IF(ISNUMBER(BH79),BH79*0.002204622621849,"")</f>
        <v>6.8232221041185</v>
      </c>
      <c r="BN79" s="144"/>
      <c r="BO79" s="144"/>
      <c r="BP79" s="144"/>
      <c r="BQ79" s="19"/>
      <c r="BR79" s="151">
        <f>IF(SUM(BR55:BU77)&gt;0,SUM(BR55:BU77),"")</f>
        <v>99.99999999999997</v>
      </c>
      <c r="BS79" s="151"/>
      <c r="BT79" s="151"/>
      <c r="BU79" s="151"/>
      <c r="BV79" s="19"/>
      <c r="BW79" s="51"/>
      <c r="BX79" s="133">
        <f>SUM(BX55:BX78)</f>
        <v>99.99999999999997</v>
      </c>
      <c r="BY79" s="165" t="s">
        <v>140</v>
      </c>
      <c r="BZ79" s="165"/>
      <c r="CA79" s="165"/>
      <c r="CB79" s="165"/>
      <c r="CC79" s="165"/>
      <c r="CD79" s="165"/>
      <c r="CE79" s="165"/>
      <c r="CF79" s="165"/>
      <c r="CG79" s="165"/>
      <c r="CH79" s="165"/>
      <c r="CI79" s="165"/>
      <c r="CJ79" s="165"/>
      <c r="CK79" s="165"/>
      <c r="CL79" s="165"/>
      <c r="CM79" s="165"/>
      <c r="CN79" s="165"/>
      <c r="CO79" s="165"/>
      <c r="CP79" s="165"/>
      <c r="CQ79" s="256"/>
      <c r="CR79" s="257"/>
      <c r="CS79" s="257"/>
      <c r="CT79" s="257"/>
      <c r="CU79" s="132" t="s">
        <v>6</v>
      </c>
      <c r="CV79" s="132"/>
      <c r="CW79" s="132"/>
      <c r="CX79" s="132"/>
      <c r="CY79" s="179" t="s">
        <v>1</v>
      </c>
      <c r="CZ79" s="223">
        <f>IF(ISNUMBER(CQ79),CQ79*0.2641720523582,"")</f>
      </c>
      <c r="DA79" s="223"/>
      <c r="DB79" s="223"/>
      <c r="DC79" s="223"/>
      <c r="DD79" s="164" t="s">
        <v>7</v>
      </c>
      <c r="DE79" s="164"/>
      <c r="DF79" s="164"/>
      <c r="DG79" s="43"/>
      <c r="DH79" s="183">
        <f>IF(EA79&gt;0,"!","")</f>
      </c>
      <c r="DI79" s="165" t="s">
        <v>30</v>
      </c>
      <c r="DJ79" s="165"/>
      <c r="DK79" s="165"/>
      <c r="DL79" s="165"/>
      <c r="DM79" s="165"/>
      <c r="DN79" s="165"/>
      <c r="DO79" s="165"/>
      <c r="DP79" s="165"/>
      <c r="DQ79" s="165"/>
      <c r="DR79" s="165"/>
      <c r="DS79" s="165"/>
      <c r="DT79" s="165"/>
      <c r="DU79" s="165"/>
      <c r="DV79" s="165"/>
      <c r="DW79" s="165"/>
      <c r="DX79" s="165"/>
      <c r="DY79" s="165"/>
      <c r="DZ79" s="165"/>
      <c r="EA79" s="222"/>
      <c r="EB79" s="222"/>
      <c r="EC79" s="222"/>
      <c r="ED79" s="222"/>
      <c r="EE79" s="132" t="s">
        <v>6</v>
      </c>
      <c r="EF79" s="132"/>
      <c r="EG79" s="132"/>
      <c r="EH79" s="132"/>
      <c r="EI79" s="179" t="s">
        <v>1</v>
      </c>
      <c r="EJ79" s="144">
        <f>IF(EA79&gt;0,EA79*0.2641720523582,"")</f>
      </c>
      <c r="EK79" s="144"/>
      <c r="EL79" s="144"/>
      <c r="EM79" s="144"/>
      <c r="EN79" s="164" t="s">
        <v>7</v>
      </c>
      <c r="EO79" s="164"/>
      <c r="EP79" s="164"/>
      <c r="EQ79" s="43"/>
      <c r="ER79" s="19"/>
      <c r="ES79" s="200"/>
      <c r="ET79" s="200"/>
      <c r="EU79" s="200"/>
      <c r="EV79" s="200"/>
      <c r="EW79" s="200"/>
      <c r="EX79" s="180"/>
      <c r="EY79" s="157"/>
      <c r="EZ79" s="157"/>
      <c r="FA79" s="157"/>
      <c r="FB79" s="157"/>
      <c r="FC79" s="157"/>
      <c r="FD79" s="157"/>
      <c r="FE79" s="157"/>
      <c r="FF79" s="157"/>
      <c r="FG79" s="157"/>
      <c r="FH79" s="157"/>
      <c r="FI79" s="157"/>
      <c r="FJ79" s="157"/>
      <c r="FK79" s="157"/>
      <c r="FL79" s="157"/>
      <c r="FM79" s="157"/>
      <c r="FN79" s="157"/>
      <c r="FO79" s="157"/>
      <c r="FP79" s="157"/>
      <c r="FQ79" s="157"/>
      <c r="FR79" s="157"/>
      <c r="FS79" s="157"/>
      <c r="FT79" s="157"/>
      <c r="FU79" s="64"/>
      <c r="FV79" s="201"/>
      <c r="FW79" s="201"/>
      <c r="FX79" s="201"/>
      <c r="FY79" s="201"/>
      <c r="FZ79" s="201"/>
      <c r="GA79" s="19"/>
      <c r="GB79" s="45"/>
    </row>
    <row r="80" spans="1:184" ht="7.5" customHeight="1">
      <c r="A80" s="43"/>
      <c r="B80" s="19"/>
      <c r="C80" s="20"/>
      <c r="D80" s="20"/>
      <c r="E80" s="20"/>
      <c r="F80" s="20"/>
      <c r="G80" s="20"/>
      <c r="H80" s="20"/>
      <c r="I80" s="20"/>
      <c r="J80" s="20"/>
      <c r="K80" s="143"/>
      <c r="L80" s="143"/>
      <c r="M80" s="143"/>
      <c r="N80" s="143"/>
      <c r="O80" s="70"/>
      <c r="P80" s="151"/>
      <c r="Q80" s="151"/>
      <c r="R80" s="151"/>
      <c r="S80" s="70"/>
      <c r="T80" s="194"/>
      <c r="U80" s="194"/>
      <c r="V80" s="194"/>
      <c r="W80" s="70"/>
      <c r="X80" s="277"/>
      <c r="Y80" s="277"/>
      <c r="Z80" s="277"/>
      <c r="AA80" s="277"/>
      <c r="AB80" s="130"/>
      <c r="AC80" s="144"/>
      <c r="AD80" s="144"/>
      <c r="AE80" s="144"/>
      <c r="AF80" s="144"/>
      <c r="AG80" s="19"/>
      <c r="AH80" s="143"/>
      <c r="AI80" s="143"/>
      <c r="AJ80" s="143"/>
      <c r="AK80" s="143"/>
      <c r="AL80" s="19"/>
      <c r="AM80" s="130"/>
      <c r="AN80" s="130"/>
      <c r="AO80" s="130"/>
      <c r="AP80" s="278"/>
      <c r="AQ80" s="278"/>
      <c r="AR80" s="278"/>
      <c r="AS80" s="278"/>
      <c r="AT80" s="278"/>
      <c r="AU80" s="143"/>
      <c r="AV80" s="143"/>
      <c r="AW80" s="143"/>
      <c r="AX80" s="143"/>
      <c r="AY80" s="70"/>
      <c r="AZ80" s="151"/>
      <c r="BA80" s="151"/>
      <c r="BB80" s="151"/>
      <c r="BC80" s="83"/>
      <c r="BD80" s="194"/>
      <c r="BE80" s="194"/>
      <c r="BF80" s="194"/>
      <c r="BG80" s="83"/>
      <c r="BH80" s="277"/>
      <c r="BI80" s="277"/>
      <c r="BJ80" s="277"/>
      <c r="BK80" s="277"/>
      <c r="BL80" s="19"/>
      <c r="BM80" s="144"/>
      <c r="BN80" s="144"/>
      <c r="BO80" s="144"/>
      <c r="BP80" s="144"/>
      <c r="BQ80" s="19"/>
      <c r="BR80" s="151"/>
      <c r="BS80" s="151"/>
      <c r="BT80" s="151"/>
      <c r="BU80" s="151"/>
      <c r="BV80" s="19"/>
      <c r="BW80" s="281"/>
      <c r="BX80" s="133"/>
      <c r="BY80" s="165"/>
      <c r="BZ80" s="165"/>
      <c r="CA80" s="165"/>
      <c r="CB80" s="165"/>
      <c r="CC80" s="165"/>
      <c r="CD80" s="165"/>
      <c r="CE80" s="165"/>
      <c r="CF80" s="165"/>
      <c r="CG80" s="165"/>
      <c r="CH80" s="165"/>
      <c r="CI80" s="165"/>
      <c r="CJ80" s="165"/>
      <c r="CK80" s="165"/>
      <c r="CL80" s="165"/>
      <c r="CM80" s="165"/>
      <c r="CN80" s="165"/>
      <c r="CO80" s="165"/>
      <c r="CP80" s="165"/>
      <c r="CQ80" s="258"/>
      <c r="CR80" s="259"/>
      <c r="CS80" s="259"/>
      <c r="CT80" s="259"/>
      <c r="CU80" s="132"/>
      <c r="CV80" s="132"/>
      <c r="CW80" s="132"/>
      <c r="CX80" s="132"/>
      <c r="CY80" s="212"/>
      <c r="CZ80" s="223"/>
      <c r="DA80" s="223"/>
      <c r="DB80" s="223"/>
      <c r="DC80" s="223"/>
      <c r="DD80" s="164"/>
      <c r="DE80" s="164"/>
      <c r="DF80" s="164"/>
      <c r="DG80" s="43"/>
      <c r="DH80" s="183"/>
      <c r="DI80" s="165"/>
      <c r="DJ80" s="165"/>
      <c r="DK80" s="165"/>
      <c r="DL80" s="165"/>
      <c r="DM80" s="165"/>
      <c r="DN80" s="165"/>
      <c r="DO80" s="165"/>
      <c r="DP80" s="165"/>
      <c r="DQ80" s="165"/>
      <c r="DR80" s="165"/>
      <c r="DS80" s="165"/>
      <c r="DT80" s="165"/>
      <c r="DU80" s="165"/>
      <c r="DV80" s="165"/>
      <c r="DW80" s="165"/>
      <c r="DX80" s="165"/>
      <c r="DY80" s="165"/>
      <c r="DZ80" s="165"/>
      <c r="EA80" s="222"/>
      <c r="EB80" s="222"/>
      <c r="EC80" s="222"/>
      <c r="ED80" s="222"/>
      <c r="EE80" s="132"/>
      <c r="EF80" s="132"/>
      <c r="EG80" s="132"/>
      <c r="EH80" s="132"/>
      <c r="EI80" s="212"/>
      <c r="EJ80" s="144"/>
      <c r="EK80" s="144"/>
      <c r="EL80" s="144"/>
      <c r="EM80" s="144"/>
      <c r="EN80" s="164"/>
      <c r="EO80" s="164"/>
      <c r="EP80" s="164"/>
      <c r="EQ80" s="43"/>
      <c r="ER80" s="67"/>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19"/>
      <c r="GB80" s="45"/>
    </row>
    <row r="81" spans="1:184" ht="7.5" customHeight="1" thickBot="1">
      <c r="A81" s="43"/>
      <c r="B81" s="143" t="s">
        <v>377</v>
      </c>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26"/>
      <c r="AM81" s="282" t="str">
        <f>IF(OR(ISNUMBER(EF133),ISNUMBER(EF136),ISNUMBER(EF139),ISNUMBER(EF142),ISNUMBER(EF145),ISNUMBER(EF148),ISNUMBER(EF151),ISNUMBER(EF154),ISNUMBER(EF164),ISNUMBER(EF167),ISNUMBER(EF170),ISNUMBER(EF173),ISNUMBER(EF176),ISNUMBER(EF179),ISNUMBER(EF182),ISNUMBER(EF185)),"Extract Potential Default/s have been adjusted. Go to Section Y.","If fermentable bill contains extracts or sugars, go to Section. Y.")</f>
        <v>If fermentable bill contains extracts or sugars, go to Section. Y.</v>
      </c>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1"/>
      <c r="BX81" s="51"/>
      <c r="BY81" s="19"/>
      <c r="BZ81" s="19"/>
      <c r="CA81" s="19"/>
      <c r="CB81" s="19"/>
      <c r="CC81" s="19"/>
      <c r="CD81" s="19"/>
      <c r="CE81" s="19"/>
      <c r="CF81" s="19"/>
      <c r="CG81" s="19"/>
      <c r="CH81" s="19"/>
      <c r="CI81" s="19"/>
      <c r="CJ81" s="19"/>
      <c r="CK81" s="19"/>
      <c r="CL81" s="19"/>
      <c r="CM81" s="19"/>
      <c r="CN81" s="19"/>
      <c r="CO81" s="19"/>
      <c r="CP81" s="19"/>
      <c r="CQ81" s="42"/>
      <c r="CR81" s="42"/>
      <c r="CS81" s="42"/>
      <c r="CT81" s="42"/>
      <c r="CU81" s="19"/>
      <c r="CV81" s="19"/>
      <c r="CW81" s="19"/>
      <c r="CX81" s="19"/>
      <c r="CY81" s="19"/>
      <c r="CZ81" s="19"/>
      <c r="DA81" s="19"/>
      <c r="DB81" s="19"/>
      <c r="DC81" s="19"/>
      <c r="DD81" s="19"/>
      <c r="DE81" s="19"/>
      <c r="DF81" s="19"/>
      <c r="DG81" s="43"/>
      <c r="DH81" s="43"/>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84"/>
      <c r="ER81" s="19"/>
      <c r="ES81" s="200"/>
      <c r="ET81" s="200"/>
      <c r="EU81" s="200"/>
      <c r="EV81" s="200"/>
      <c r="EW81" s="200"/>
      <c r="EX81" s="180"/>
      <c r="EY81" s="200"/>
      <c r="EZ81" s="200"/>
      <c r="FA81" s="200"/>
      <c r="FB81" s="200"/>
      <c r="FC81" s="200"/>
      <c r="FD81" s="200"/>
      <c r="FE81" s="200"/>
      <c r="FF81" s="200"/>
      <c r="FG81" s="200"/>
      <c r="FH81" s="200"/>
      <c r="FI81" s="200"/>
      <c r="FJ81" s="200"/>
      <c r="FK81" s="200"/>
      <c r="FL81" s="200"/>
      <c r="FM81" s="200"/>
      <c r="FN81" s="200"/>
      <c r="FO81" s="200"/>
      <c r="FP81" s="200"/>
      <c r="FQ81" s="200"/>
      <c r="FR81" s="200"/>
      <c r="FS81" s="200"/>
      <c r="FT81" s="200"/>
      <c r="FU81" s="64"/>
      <c r="FV81" s="201"/>
      <c r="FW81" s="201"/>
      <c r="FX81" s="201"/>
      <c r="FY81" s="201"/>
      <c r="FZ81" s="201"/>
      <c r="GA81" s="19"/>
      <c r="GB81" s="45"/>
    </row>
    <row r="82" spans="1:184" ht="7.5" customHeight="1">
      <c r="A82" s="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26"/>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51"/>
      <c r="BX82" s="51"/>
      <c r="BY82" s="165" t="s">
        <v>4</v>
      </c>
      <c r="BZ82" s="165"/>
      <c r="CA82" s="165"/>
      <c r="CB82" s="165"/>
      <c r="CC82" s="165"/>
      <c r="CD82" s="165"/>
      <c r="CE82" s="165"/>
      <c r="CF82" s="165"/>
      <c r="CG82" s="165"/>
      <c r="CH82" s="165"/>
      <c r="CI82" s="165"/>
      <c r="CJ82" s="165"/>
      <c r="CK82" s="165"/>
      <c r="CL82" s="165"/>
      <c r="CM82" s="165"/>
      <c r="CN82" s="165"/>
      <c r="CO82" s="165"/>
      <c r="CP82" s="165"/>
      <c r="CQ82" s="256"/>
      <c r="CR82" s="257"/>
      <c r="CS82" s="257"/>
      <c r="CT82" s="257"/>
      <c r="CU82" s="132" t="s">
        <v>6</v>
      </c>
      <c r="CV82" s="132"/>
      <c r="CW82" s="132"/>
      <c r="CX82" s="132"/>
      <c r="CY82" s="179" t="s">
        <v>1</v>
      </c>
      <c r="CZ82" s="150">
        <f>IF(ISNUMBER(CQ82),CQ82*0.2641720523582,"")</f>
      </c>
      <c r="DA82" s="150"/>
      <c r="DB82" s="150"/>
      <c r="DC82" s="150"/>
      <c r="DD82" s="164" t="s">
        <v>7</v>
      </c>
      <c r="DE82" s="164"/>
      <c r="DF82" s="164"/>
      <c r="DG82" s="43"/>
      <c r="DH82" s="43"/>
      <c r="DI82" s="170" t="s">
        <v>221</v>
      </c>
      <c r="DJ82" s="170"/>
      <c r="DK82" s="170"/>
      <c r="DL82" s="170"/>
      <c r="DM82" s="170"/>
      <c r="DN82" s="170"/>
      <c r="DO82" s="170"/>
      <c r="DP82" s="170"/>
      <c r="DQ82" s="170"/>
      <c r="DR82" s="170"/>
      <c r="DS82" s="170"/>
      <c r="DT82" s="170"/>
      <c r="DU82" s="170"/>
      <c r="DV82" s="170"/>
      <c r="DW82" s="170"/>
      <c r="DX82" s="170"/>
      <c r="DY82" s="170"/>
      <c r="DZ82" s="170"/>
      <c r="EA82" s="150">
        <f>IF(AND(ISNUMBER(CQ30),ISNUMBER(BH79)),CQ30/1.019794/(BH79/100000*BX79),"")</f>
        <v>5.404010144599441</v>
      </c>
      <c r="EB82" s="150"/>
      <c r="EC82" s="150"/>
      <c r="ED82" s="150"/>
      <c r="EE82" s="132" t="s">
        <v>135</v>
      </c>
      <c r="EF82" s="132"/>
      <c r="EG82" s="132"/>
      <c r="EH82" s="132"/>
      <c r="EI82" s="150">
        <f>IF(ISNUMBER(EA82),EA82*0.479305709,"")</f>
        <v>2.5901729138004277</v>
      </c>
      <c r="EJ82" s="150"/>
      <c r="EK82" s="150"/>
      <c r="EL82" s="132" t="s">
        <v>265</v>
      </c>
      <c r="EM82" s="132"/>
      <c r="EN82" s="132"/>
      <c r="EO82" s="132"/>
      <c r="EP82" s="19"/>
      <c r="EQ82" s="184"/>
      <c r="ER82" s="19"/>
      <c r="ES82" s="200"/>
      <c r="ET82" s="200"/>
      <c r="EU82" s="200"/>
      <c r="EV82" s="200"/>
      <c r="EW82" s="200"/>
      <c r="EX82" s="180"/>
      <c r="EY82" s="200"/>
      <c r="EZ82" s="200"/>
      <c r="FA82" s="200"/>
      <c r="FB82" s="200"/>
      <c r="FC82" s="200"/>
      <c r="FD82" s="200"/>
      <c r="FE82" s="200"/>
      <c r="FF82" s="200"/>
      <c r="FG82" s="200"/>
      <c r="FH82" s="200"/>
      <c r="FI82" s="200"/>
      <c r="FJ82" s="200"/>
      <c r="FK82" s="200"/>
      <c r="FL82" s="200"/>
      <c r="FM82" s="200"/>
      <c r="FN82" s="200"/>
      <c r="FO82" s="200"/>
      <c r="FP82" s="200"/>
      <c r="FQ82" s="200"/>
      <c r="FR82" s="200"/>
      <c r="FS82" s="200"/>
      <c r="FT82" s="200"/>
      <c r="FU82" s="64"/>
      <c r="FV82" s="201"/>
      <c r="FW82" s="201"/>
      <c r="FX82" s="201"/>
      <c r="FY82" s="201"/>
      <c r="FZ82" s="201"/>
      <c r="GA82" s="19"/>
      <c r="GB82" s="45"/>
    </row>
    <row r="83" spans="1:184" ht="7.5" customHeight="1">
      <c r="A83" s="43"/>
      <c r="B83" s="158" t="s">
        <v>234</v>
      </c>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5" t="s">
        <v>91</v>
      </c>
      <c r="BV83" s="156"/>
      <c r="BW83" s="281"/>
      <c r="BX83" s="51"/>
      <c r="BY83" s="165"/>
      <c r="BZ83" s="165"/>
      <c r="CA83" s="165"/>
      <c r="CB83" s="165"/>
      <c r="CC83" s="165"/>
      <c r="CD83" s="165"/>
      <c r="CE83" s="165"/>
      <c r="CF83" s="165"/>
      <c r="CG83" s="165"/>
      <c r="CH83" s="165"/>
      <c r="CI83" s="165"/>
      <c r="CJ83" s="165"/>
      <c r="CK83" s="165"/>
      <c r="CL83" s="165"/>
      <c r="CM83" s="165"/>
      <c r="CN83" s="165"/>
      <c r="CO83" s="165"/>
      <c r="CP83" s="165"/>
      <c r="CQ83" s="258"/>
      <c r="CR83" s="259"/>
      <c r="CS83" s="259"/>
      <c r="CT83" s="259"/>
      <c r="CU83" s="132"/>
      <c r="CV83" s="132"/>
      <c r="CW83" s="132"/>
      <c r="CX83" s="132"/>
      <c r="CY83" s="212"/>
      <c r="CZ83" s="150"/>
      <c r="DA83" s="150"/>
      <c r="DB83" s="150"/>
      <c r="DC83" s="150"/>
      <c r="DD83" s="164"/>
      <c r="DE83" s="164"/>
      <c r="DF83" s="164"/>
      <c r="DG83" s="43"/>
      <c r="DH83" s="43"/>
      <c r="DI83" s="170"/>
      <c r="DJ83" s="170"/>
      <c r="DK83" s="170"/>
      <c r="DL83" s="170"/>
      <c r="DM83" s="170"/>
      <c r="DN83" s="170"/>
      <c r="DO83" s="170"/>
      <c r="DP83" s="170"/>
      <c r="DQ83" s="170"/>
      <c r="DR83" s="170"/>
      <c r="DS83" s="170"/>
      <c r="DT83" s="170"/>
      <c r="DU83" s="170"/>
      <c r="DV83" s="170"/>
      <c r="DW83" s="170"/>
      <c r="DX83" s="170"/>
      <c r="DY83" s="170"/>
      <c r="DZ83" s="170"/>
      <c r="EA83" s="150"/>
      <c r="EB83" s="150"/>
      <c r="EC83" s="150"/>
      <c r="ED83" s="150"/>
      <c r="EE83" s="132"/>
      <c r="EF83" s="132"/>
      <c r="EG83" s="132"/>
      <c r="EH83" s="132"/>
      <c r="EI83" s="150"/>
      <c r="EJ83" s="150"/>
      <c r="EK83" s="150"/>
      <c r="EL83" s="132"/>
      <c r="EM83" s="132"/>
      <c r="EN83" s="132"/>
      <c r="EO83" s="132"/>
      <c r="EP83" s="19"/>
      <c r="EQ83" s="43"/>
      <c r="ER83" s="67"/>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19"/>
      <c r="GB83" s="45"/>
    </row>
    <row r="84" spans="1:184" ht="7.5" customHeight="1" thickBot="1">
      <c r="A84" s="43"/>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6"/>
      <c r="BV84" s="156"/>
      <c r="BW84" s="281"/>
      <c r="BX84" s="51"/>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43"/>
      <c r="DH84" s="43"/>
      <c r="DI84" s="303">
        <f>IF(AND(ISNUMBER(CQ30),ISNUMBER(BH79)),IF(AND(ISNUMBER(CQ33),ISNUMBER(AV33),CQ33&lt;0.9*AV33,EA67&gt;0),"Decrease Water Used in a Sparge.",IF(AND(ISNUMBER(CQ45),ISNUMBER(CQ48),OR(EA76&gt;0.4*CQ45,EA79&gt;0.4*(CQ45-CQ48))),"Try to reduce dilution amounts above to improve recipe integrity.","")),"")</f>
      </c>
      <c r="DJ84" s="303"/>
      <c r="DK84" s="303"/>
      <c r="DL84" s="303"/>
      <c r="DM84" s="303"/>
      <c r="DN84" s="303"/>
      <c r="DO84" s="303"/>
      <c r="DP84" s="303"/>
      <c r="DQ84" s="303"/>
      <c r="DR84" s="303"/>
      <c r="DS84" s="303"/>
      <c r="DT84" s="303"/>
      <c r="DU84" s="303"/>
      <c r="DV84" s="303"/>
      <c r="DW84" s="303"/>
      <c r="DX84" s="303"/>
      <c r="DY84" s="303"/>
      <c r="DZ84" s="303"/>
      <c r="EA84" s="303"/>
      <c r="EB84" s="303"/>
      <c r="EC84" s="303"/>
      <c r="ED84" s="303"/>
      <c r="EE84" s="303"/>
      <c r="EF84" s="303"/>
      <c r="EG84" s="303"/>
      <c r="EH84" s="303"/>
      <c r="EI84" s="303"/>
      <c r="EJ84" s="303"/>
      <c r="EK84" s="303"/>
      <c r="EL84" s="303"/>
      <c r="EM84" s="303"/>
      <c r="EN84" s="303"/>
      <c r="EO84" s="303"/>
      <c r="EP84" s="303"/>
      <c r="EQ84" s="43"/>
      <c r="ER84" s="19"/>
      <c r="ES84" s="200"/>
      <c r="ET84" s="200"/>
      <c r="EU84" s="200"/>
      <c r="EV84" s="200"/>
      <c r="EW84" s="200"/>
      <c r="EX84" s="180"/>
      <c r="EY84" s="200"/>
      <c r="EZ84" s="200"/>
      <c r="FA84" s="200"/>
      <c r="FB84" s="200"/>
      <c r="FC84" s="200"/>
      <c r="FD84" s="200"/>
      <c r="FE84" s="200"/>
      <c r="FF84" s="200"/>
      <c r="FG84" s="200"/>
      <c r="FH84" s="200"/>
      <c r="FI84" s="200"/>
      <c r="FJ84" s="200"/>
      <c r="FK84" s="200"/>
      <c r="FL84" s="200"/>
      <c r="FM84" s="200"/>
      <c r="FN84" s="200"/>
      <c r="FO84" s="200"/>
      <c r="FP84" s="200"/>
      <c r="FQ84" s="200"/>
      <c r="FR84" s="200"/>
      <c r="FS84" s="200"/>
      <c r="FT84" s="200"/>
      <c r="FU84" s="64"/>
      <c r="FV84" s="201"/>
      <c r="FW84" s="201"/>
      <c r="FX84" s="201"/>
      <c r="FY84" s="201"/>
      <c r="FZ84" s="201"/>
      <c r="GA84" s="19"/>
      <c r="GB84" s="45"/>
    </row>
    <row r="85" spans="1:184" ht="7.5" customHeight="1" thickBot="1">
      <c r="A85" s="43"/>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51"/>
      <c r="BX85" s="51"/>
      <c r="BY85" s="170" t="s">
        <v>330</v>
      </c>
      <c r="BZ85" s="170"/>
      <c r="CA85" s="170"/>
      <c r="CB85" s="170"/>
      <c r="CC85" s="170"/>
      <c r="CD85" s="170"/>
      <c r="CE85" s="170"/>
      <c r="CF85" s="170"/>
      <c r="CG85" s="170"/>
      <c r="CH85" s="170"/>
      <c r="CI85" s="170"/>
      <c r="CJ85" s="170"/>
      <c r="CK85" s="170"/>
      <c r="CL85" s="170"/>
      <c r="CM85" s="170"/>
      <c r="CN85" s="170"/>
      <c r="CO85" s="170"/>
      <c r="CP85" s="170"/>
      <c r="CQ85" s="224">
        <f>IF(AND(CQ82&gt;0,CQ79&lt;&gt;""),CQ82+CQ79,"")</f>
      </c>
      <c r="CR85" s="225"/>
      <c r="CS85" s="225"/>
      <c r="CT85" s="225"/>
      <c r="CU85" s="132" t="s">
        <v>6</v>
      </c>
      <c r="CV85" s="132"/>
      <c r="CW85" s="132"/>
      <c r="CX85" s="132"/>
      <c r="CY85" s="179" t="s">
        <v>1</v>
      </c>
      <c r="CZ85" s="150">
        <f>IF(ISNUMBER(DG85),DG85*0.2641720523582,"")</f>
      </c>
      <c r="DA85" s="150"/>
      <c r="DB85" s="150"/>
      <c r="DC85" s="150"/>
      <c r="DD85" s="164" t="s">
        <v>7</v>
      </c>
      <c r="DE85" s="164"/>
      <c r="DF85" s="164"/>
      <c r="DG85" s="290">
        <f>IF(AND(CQ82&gt;0,CQ79&lt;&gt;""),CQ82+CQ79,IF(CQ73&gt;0,CQ73*0.9614,""))</f>
      </c>
      <c r="DH85" s="4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43"/>
      <c r="ER85" s="19"/>
      <c r="ES85" s="200"/>
      <c r="ET85" s="200"/>
      <c r="EU85" s="200"/>
      <c r="EV85" s="200"/>
      <c r="EW85" s="200"/>
      <c r="EX85" s="180"/>
      <c r="EY85" s="200"/>
      <c r="EZ85" s="200"/>
      <c r="FA85" s="200"/>
      <c r="FB85" s="200"/>
      <c r="FC85" s="200"/>
      <c r="FD85" s="200"/>
      <c r="FE85" s="200"/>
      <c r="FF85" s="200"/>
      <c r="FG85" s="200"/>
      <c r="FH85" s="200"/>
      <c r="FI85" s="200"/>
      <c r="FJ85" s="200"/>
      <c r="FK85" s="200"/>
      <c r="FL85" s="200"/>
      <c r="FM85" s="200"/>
      <c r="FN85" s="200"/>
      <c r="FO85" s="200"/>
      <c r="FP85" s="200"/>
      <c r="FQ85" s="200"/>
      <c r="FR85" s="200"/>
      <c r="FS85" s="200"/>
      <c r="FT85" s="200"/>
      <c r="FU85" s="64"/>
      <c r="FV85" s="201"/>
      <c r="FW85" s="201"/>
      <c r="FX85" s="201"/>
      <c r="FY85" s="201"/>
      <c r="FZ85" s="201"/>
      <c r="GA85" s="19"/>
      <c r="GB85" s="45"/>
    </row>
    <row r="86" spans="1:184" ht="7.5" customHeight="1">
      <c r="A86" s="43"/>
      <c r="B86" s="165" t="s">
        <v>335</v>
      </c>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256">
        <v>26.4978</v>
      </c>
      <c r="BH86" s="257"/>
      <c r="BI86" s="257"/>
      <c r="BJ86" s="257"/>
      <c r="BK86" s="164" t="s">
        <v>5</v>
      </c>
      <c r="BL86" s="164"/>
      <c r="BM86" s="179" t="s">
        <v>1</v>
      </c>
      <c r="BN86" s="132"/>
      <c r="BO86" s="144">
        <f>IF(BG86&gt;0,BG86*0.2641720523582,"")</f>
        <v>6.9999782089771125</v>
      </c>
      <c r="BP86" s="144"/>
      <c r="BQ86" s="144"/>
      <c r="BR86" s="144"/>
      <c r="BS86" s="164" t="s">
        <v>7</v>
      </c>
      <c r="BT86" s="164"/>
      <c r="BU86" s="164"/>
      <c r="BV86" s="19"/>
      <c r="BW86" s="51"/>
      <c r="BX86" s="51"/>
      <c r="BY86" s="170"/>
      <c r="BZ86" s="170"/>
      <c r="CA86" s="170"/>
      <c r="CB86" s="170"/>
      <c r="CC86" s="170"/>
      <c r="CD86" s="170"/>
      <c r="CE86" s="170"/>
      <c r="CF86" s="170"/>
      <c r="CG86" s="170"/>
      <c r="CH86" s="170"/>
      <c r="CI86" s="170"/>
      <c r="CJ86" s="170"/>
      <c r="CK86" s="170"/>
      <c r="CL86" s="170"/>
      <c r="CM86" s="170"/>
      <c r="CN86" s="170"/>
      <c r="CO86" s="170"/>
      <c r="CP86" s="170"/>
      <c r="CQ86" s="226"/>
      <c r="CR86" s="227"/>
      <c r="CS86" s="227"/>
      <c r="CT86" s="227"/>
      <c r="CU86" s="132"/>
      <c r="CV86" s="132"/>
      <c r="CW86" s="132"/>
      <c r="CX86" s="132"/>
      <c r="CY86" s="212"/>
      <c r="CZ86" s="150"/>
      <c r="DA86" s="150"/>
      <c r="DB86" s="150"/>
      <c r="DC86" s="150"/>
      <c r="DD86" s="164"/>
      <c r="DE86" s="164"/>
      <c r="DF86" s="164"/>
      <c r="DG86" s="290"/>
      <c r="DH86" s="43"/>
      <c r="DI86" s="158" t="s">
        <v>253</v>
      </c>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5" t="s">
        <v>91</v>
      </c>
      <c r="EP86" s="156"/>
      <c r="EQ86" s="43"/>
      <c r="ER86" s="67"/>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19"/>
      <c r="GB86" s="45"/>
    </row>
    <row r="87" spans="1:184" ht="7.5" customHeight="1">
      <c r="A87" s="43"/>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258"/>
      <c r="BH87" s="259"/>
      <c r="BI87" s="259"/>
      <c r="BJ87" s="259"/>
      <c r="BK87" s="164"/>
      <c r="BL87" s="164"/>
      <c r="BM87" s="132"/>
      <c r="BN87" s="132"/>
      <c r="BO87" s="144"/>
      <c r="BP87" s="144"/>
      <c r="BQ87" s="144"/>
      <c r="BR87" s="144"/>
      <c r="BS87" s="164"/>
      <c r="BT87" s="164"/>
      <c r="BU87" s="164"/>
      <c r="BV87" s="19"/>
      <c r="BW87" s="51"/>
      <c r="BX87" s="51"/>
      <c r="BY87" s="248">
        <f>IF(EA79&gt;0,"VIF above assumes you have already topped up with "&amp;EA79&amp;" litres.","")</f>
      </c>
      <c r="BZ87" s="248"/>
      <c r="CA87" s="248"/>
      <c r="CB87" s="248"/>
      <c r="CC87" s="248"/>
      <c r="CD87" s="248"/>
      <c r="CE87" s="248"/>
      <c r="CF87" s="248"/>
      <c r="CG87" s="248"/>
      <c r="CH87" s="248"/>
      <c r="CI87" s="248"/>
      <c r="CJ87" s="248"/>
      <c r="CK87" s="248"/>
      <c r="CL87" s="248"/>
      <c r="CM87" s="248"/>
      <c r="CN87" s="248"/>
      <c r="CO87" s="248"/>
      <c r="CP87" s="248"/>
      <c r="CQ87" s="248"/>
      <c r="CR87" s="248"/>
      <c r="CS87" s="248"/>
      <c r="CT87" s="248"/>
      <c r="CU87" s="248"/>
      <c r="CV87" s="248"/>
      <c r="CW87" s="248"/>
      <c r="CX87" s="248"/>
      <c r="CY87" s="248"/>
      <c r="CZ87" s="248"/>
      <c r="DA87" s="248"/>
      <c r="DB87" s="248"/>
      <c r="DC87" s="248"/>
      <c r="DD87" s="248"/>
      <c r="DE87" s="248"/>
      <c r="DF87" s="248"/>
      <c r="DG87" s="43"/>
      <c r="DH87" s="43"/>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c r="EF87" s="158"/>
      <c r="EG87" s="158"/>
      <c r="EH87" s="158"/>
      <c r="EI87" s="158"/>
      <c r="EJ87" s="158"/>
      <c r="EK87" s="158"/>
      <c r="EL87" s="158"/>
      <c r="EM87" s="158"/>
      <c r="EN87" s="158"/>
      <c r="EO87" s="156"/>
      <c r="EP87" s="156"/>
      <c r="EQ87" s="43"/>
      <c r="ER87" s="19"/>
      <c r="ES87" s="200"/>
      <c r="ET87" s="200"/>
      <c r="EU87" s="200"/>
      <c r="EV87" s="200"/>
      <c r="EW87" s="200"/>
      <c r="EX87" s="180"/>
      <c r="EY87" s="200"/>
      <c r="EZ87" s="200"/>
      <c r="FA87" s="200"/>
      <c r="FB87" s="200"/>
      <c r="FC87" s="200"/>
      <c r="FD87" s="200"/>
      <c r="FE87" s="200"/>
      <c r="FF87" s="200"/>
      <c r="FG87" s="200"/>
      <c r="FH87" s="200"/>
      <c r="FI87" s="200"/>
      <c r="FJ87" s="200"/>
      <c r="FK87" s="200"/>
      <c r="FL87" s="200"/>
      <c r="FM87" s="200"/>
      <c r="FN87" s="200"/>
      <c r="FO87" s="200"/>
      <c r="FP87" s="200"/>
      <c r="FQ87" s="200"/>
      <c r="FR87" s="200"/>
      <c r="FS87" s="200"/>
      <c r="FT87" s="200"/>
      <c r="FU87" s="64"/>
      <c r="FV87" s="201"/>
      <c r="FW87" s="201"/>
      <c r="FX87" s="201"/>
      <c r="FY87" s="201"/>
      <c r="FZ87" s="201"/>
      <c r="GA87" s="19"/>
      <c r="GB87" s="45"/>
    </row>
    <row r="88" spans="1:184" ht="7.5" customHeight="1">
      <c r="A88" s="43"/>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51" t="s">
        <v>128</v>
      </c>
      <c r="BX88" s="51"/>
      <c r="BY88" s="248"/>
      <c r="BZ88" s="248"/>
      <c r="CA88" s="248"/>
      <c r="CB88" s="248"/>
      <c r="CC88" s="248"/>
      <c r="CD88" s="248"/>
      <c r="CE88" s="248"/>
      <c r="CF88" s="248"/>
      <c r="CG88" s="248"/>
      <c r="CH88" s="248"/>
      <c r="CI88" s="248"/>
      <c r="CJ88" s="248"/>
      <c r="CK88" s="248"/>
      <c r="CL88" s="248"/>
      <c r="CM88" s="248"/>
      <c r="CN88" s="248"/>
      <c r="CO88" s="248"/>
      <c r="CP88" s="248"/>
      <c r="CQ88" s="248"/>
      <c r="CR88" s="248"/>
      <c r="CS88" s="248"/>
      <c r="CT88" s="248"/>
      <c r="CU88" s="248"/>
      <c r="CV88" s="248"/>
      <c r="CW88" s="248"/>
      <c r="CX88" s="248"/>
      <c r="CY88" s="248"/>
      <c r="CZ88" s="248"/>
      <c r="DA88" s="248"/>
      <c r="DB88" s="248"/>
      <c r="DC88" s="248"/>
      <c r="DD88" s="248"/>
      <c r="DE88" s="248"/>
      <c r="DF88" s="248"/>
      <c r="DG88" s="43"/>
      <c r="DH88" s="43"/>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43"/>
      <c r="ER88" s="19"/>
      <c r="ES88" s="200"/>
      <c r="ET88" s="200"/>
      <c r="EU88" s="200"/>
      <c r="EV88" s="200"/>
      <c r="EW88" s="200"/>
      <c r="EX88" s="180"/>
      <c r="EY88" s="200"/>
      <c r="EZ88" s="200"/>
      <c r="FA88" s="200"/>
      <c r="FB88" s="200"/>
      <c r="FC88" s="200"/>
      <c r="FD88" s="200"/>
      <c r="FE88" s="200"/>
      <c r="FF88" s="200"/>
      <c r="FG88" s="200"/>
      <c r="FH88" s="200"/>
      <c r="FI88" s="200"/>
      <c r="FJ88" s="200"/>
      <c r="FK88" s="200"/>
      <c r="FL88" s="200"/>
      <c r="FM88" s="200"/>
      <c r="FN88" s="200"/>
      <c r="FO88" s="200"/>
      <c r="FP88" s="200"/>
      <c r="FQ88" s="200"/>
      <c r="FR88" s="200"/>
      <c r="FS88" s="200"/>
      <c r="FT88" s="200"/>
      <c r="FU88" s="64"/>
      <c r="FV88" s="201"/>
      <c r="FW88" s="201"/>
      <c r="FX88" s="201"/>
      <c r="FY88" s="201"/>
      <c r="FZ88" s="201"/>
      <c r="GA88" s="19"/>
      <c r="GB88" s="45"/>
    </row>
    <row r="89" spans="1:184" ht="7.5" customHeight="1">
      <c r="A89" s="43"/>
      <c r="B89" s="165" t="s">
        <v>336</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203">
        <v>62.42</v>
      </c>
      <c r="BQ89" s="203"/>
      <c r="BR89" s="203"/>
      <c r="BS89" s="203"/>
      <c r="BT89" s="19"/>
      <c r="BU89" s="19"/>
      <c r="BV89" s="19"/>
      <c r="BW89" s="43"/>
      <c r="BX89" s="51"/>
      <c r="BY89" s="158" t="s">
        <v>245</v>
      </c>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5" t="s">
        <v>91</v>
      </c>
      <c r="DF89" s="156"/>
      <c r="DG89" s="43"/>
      <c r="DH89" s="43"/>
      <c r="DI89" s="165" t="s">
        <v>325</v>
      </c>
      <c r="DJ89" s="165"/>
      <c r="DK89" s="165"/>
      <c r="DL89" s="165"/>
      <c r="DM89" s="165"/>
      <c r="DN89" s="165"/>
      <c r="DO89" s="165"/>
      <c r="DP89" s="165"/>
      <c r="DQ89" s="165"/>
      <c r="DR89" s="165"/>
      <c r="DS89" s="165"/>
      <c r="DT89" s="165"/>
      <c r="DU89" s="165"/>
      <c r="DV89" s="165"/>
      <c r="DW89" s="165"/>
      <c r="DX89" s="165"/>
      <c r="DY89" s="216"/>
      <c r="DZ89" s="216"/>
      <c r="EA89" s="216"/>
      <c r="EB89" s="207" t="s">
        <v>9</v>
      </c>
      <c r="EC89" s="164"/>
      <c r="ED89" s="132" t="s">
        <v>125</v>
      </c>
      <c r="EE89" s="132"/>
      <c r="EF89" s="132"/>
      <c r="EG89" s="132"/>
      <c r="EH89" s="132"/>
      <c r="EI89" s="132"/>
      <c r="EJ89" s="19"/>
      <c r="EK89" s="216"/>
      <c r="EL89" s="216"/>
      <c r="EM89" s="216"/>
      <c r="EN89" s="207" t="s">
        <v>9</v>
      </c>
      <c r="EO89" s="164"/>
      <c r="EP89" s="19"/>
      <c r="EQ89" s="43"/>
      <c r="ER89" s="67"/>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19"/>
      <c r="GB89" s="45"/>
    </row>
    <row r="90" spans="1:184" ht="7.5" customHeight="1">
      <c r="A90" s="43"/>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203"/>
      <c r="BQ90" s="203"/>
      <c r="BR90" s="203"/>
      <c r="BS90" s="203"/>
      <c r="BT90" s="19"/>
      <c r="BU90" s="19"/>
      <c r="BV90" s="19"/>
      <c r="BW90" s="51">
        <f>IF(CY98&gt;0,1.65*0.000125^(CY98-1),"")</f>
      </c>
      <c r="BX90" s="77"/>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6"/>
      <c r="DF90" s="156"/>
      <c r="DG90" s="43"/>
      <c r="DH90" s="43"/>
      <c r="DI90" s="165"/>
      <c r="DJ90" s="165"/>
      <c r="DK90" s="165"/>
      <c r="DL90" s="165"/>
      <c r="DM90" s="165"/>
      <c r="DN90" s="165"/>
      <c r="DO90" s="165"/>
      <c r="DP90" s="165"/>
      <c r="DQ90" s="165"/>
      <c r="DR90" s="165"/>
      <c r="DS90" s="165"/>
      <c r="DT90" s="165"/>
      <c r="DU90" s="165"/>
      <c r="DV90" s="165"/>
      <c r="DW90" s="165"/>
      <c r="DX90" s="165"/>
      <c r="DY90" s="216"/>
      <c r="DZ90" s="216"/>
      <c r="EA90" s="216"/>
      <c r="EB90" s="164"/>
      <c r="EC90" s="164"/>
      <c r="ED90" s="132"/>
      <c r="EE90" s="132"/>
      <c r="EF90" s="132"/>
      <c r="EG90" s="132"/>
      <c r="EH90" s="132"/>
      <c r="EI90" s="132"/>
      <c r="EJ90" s="19"/>
      <c r="EK90" s="216"/>
      <c r="EL90" s="216"/>
      <c r="EM90" s="216"/>
      <c r="EN90" s="164"/>
      <c r="EO90" s="164"/>
      <c r="EP90" s="19"/>
      <c r="EQ90" s="43"/>
      <c r="ER90" s="19"/>
      <c r="ES90" s="200"/>
      <c r="ET90" s="200"/>
      <c r="EU90" s="200"/>
      <c r="EV90" s="200"/>
      <c r="EW90" s="200"/>
      <c r="EX90" s="180"/>
      <c r="EY90" s="157"/>
      <c r="EZ90" s="157"/>
      <c r="FA90" s="157"/>
      <c r="FB90" s="157"/>
      <c r="FC90" s="157"/>
      <c r="FD90" s="157"/>
      <c r="FE90" s="157"/>
      <c r="FF90" s="157"/>
      <c r="FG90" s="157"/>
      <c r="FH90" s="157"/>
      <c r="FI90" s="157"/>
      <c r="FJ90" s="157"/>
      <c r="FK90" s="157"/>
      <c r="FL90" s="157"/>
      <c r="FM90" s="157"/>
      <c r="FN90" s="157"/>
      <c r="FO90" s="157"/>
      <c r="FP90" s="157"/>
      <c r="FQ90" s="157"/>
      <c r="FR90" s="157"/>
      <c r="FS90" s="157"/>
      <c r="FT90" s="157"/>
      <c r="FU90" s="64"/>
      <c r="FV90" s="201"/>
      <c r="FW90" s="201"/>
      <c r="FX90" s="201"/>
      <c r="FY90" s="201"/>
      <c r="FZ90" s="201"/>
      <c r="GA90" s="19"/>
      <c r="GB90" s="45"/>
    </row>
    <row r="91" spans="1:184" ht="7.5" customHeight="1">
      <c r="A91" s="43"/>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77"/>
      <c r="BX91" s="77"/>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43"/>
      <c r="DH91" s="43"/>
      <c r="DI91" s="19"/>
      <c r="DJ91" s="19"/>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19"/>
      <c r="EI91" s="19"/>
      <c r="EJ91" s="19"/>
      <c r="EK91" s="78"/>
      <c r="EL91" s="78"/>
      <c r="EM91" s="19"/>
      <c r="EN91" s="19"/>
      <c r="EO91" s="19"/>
      <c r="EP91" s="19"/>
      <c r="EQ91" s="43"/>
      <c r="ER91" s="19"/>
      <c r="ES91" s="200"/>
      <c r="ET91" s="200"/>
      <c r="EU91" s="200"/>
      <c r="EV91" s="200"/>
      <c r="EW91" s="200"/>
      <c r="EX91" s="180"/>
      <c r="EY91" s="157"/>
      <c r="EZ91" s="157"/>
      <c r="FA91" s="157"/>
      <c r="FB91" s="157"/>
      <c r="FC91" s="157"/>
      <c r="FD91" s="157"/>
      <c r="FE91" s="157"/>
      <c r="FF91" s="157"/>
      <c r="FG91" s="157"/>
      <c r="FH91" s="157"/>
      <c r="FI91" s="157"/>
      <c r="FJ91" s="157"/>
      <c r="FK91" s="157"/>
      <c r="FL91" s="157"/>
      <c r="FM91" s="157"/>
      <c r="FN91" s="157"/>
      <c r="FO91" s="157"/>
      <c r="FP91" s="157"/>
      <c r="FQ91" s="157"/>
      <c r="FR91" s="157"/>
      <c r="FS91" s="157"/>
      <c r="FT91" s="157"/>
      <c r="FU91" s="64"/>
      <c r="FV91" s="201"/>
      <c r="FW91" s="201"/>
      <c r="FX91" s="201"/>
      <c r="FY91" s="201"/>
      <c r="FZ91" s="201"/>
      <c r="GA91" s="19"/>
      <c r="GB91" s="45"/>
    </row>
    <row r="92" spans="1:184" ht="7.5" customHeight="1">
      <c r="A92" s="43"/>
      <c r="B92" s="19"/>
      <c r="C92" s="199" t="s">
        <v>262</v>
      </c>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
      <c r="AM92" s="199" t="s">
        <v>164</v>
      </c>
      <c r="AN92" s="199"/>
      <c r="AO92" s="199"/>
      <c r="AP92" s="199"/>
      <c r="AQ92" s="199"/>
      <c r="AR92" s="199"/>
      <c r="AS92" s="199"/>
      <c r="AT92" s="199"/>
      <c r="AU92" s="199"/>
      <c r="AV92" s="199"/>
      <c r="AW92" s="199"/>
      <c r="AX92" s="199"/>
      <c r="AY92" s="199"/>
      <c r="AZ92" s="199"/>
      <c r="BA92" s="199"/>
      <c r="BB92" s="199"/>
      <c r="BC92" s="199"/>
      <c r="BD92" s="199"/>
      <c r="BE92" s="199"/>
      <c r="BF92" s="199"/>
      <c r="BG92" s="69"/>
      <c r="BH92" s="158" t="s">
        <v>237</v>
      </c>
      <c r="BI92" s="158"/>
      <c r="BJ92" s="158"/>
      <c r="BK92" s="158"/>
      <c r="BL92" s="158"/>
      <c r="BM92" s="158"/>
      <c r="BN92" s="158"/>
      <c r="BO92" s="158"/>
      <c r="BP92" s="158"/>
      <c r="BQ92" s="158"/>
      <c r="BR92" s="158"/>
      <c r="BS92" s="158"/>
      <c r="BT92" s="158"/>
      <c r="BU92" s="158"/>
      <c r="BV92" s="158"/>
      <c r="BW92" s="51" t="s">
        <v>129</v>
      </c>
      <c r="BX92" s="51"/>
      <c r="BY92" s="143" t="s">
        <v>324</v>
      </c>
      <c r="BZ92" s="143"/>
      <c r="CA92" s="143"/>
      <c r="CB92" s="143"/>
      <c r="CC92" s="143"/>
      <c r="CD92" s="143"/>
      <c r="CE92" s="143"/>
      <c r="CF92" s="143"/>
      <c r="CG92" s="143"/>
      <c r="CH92" s="143"/>
      <c r="CI92" s="143"/>
      <c r="CJ92" s="143"/>
      <c r="CK92" s="143"/>
      <c r="CL92" s="143"/>
      <c r="CM92" s="143"/>
      <c r="CN92" s="143"/>
      <c r="CO92" s="143"/>
      <c r="CP92" s="143"/>
      <c r="CQ92" s="143" t="s">
        <v>27</v>
      </c>
      <c r="CR92" s="143"/>
      <c r="CS92" s="143"/>
      <c r="CT92" s="143"/>
      <c r="CU92" s="143"/>
      <c r="CV92" s="143"/>
      <c r="CW92" s="143"/>
      <c r="CX92" s="70"/>
      <c r="CY92" s="143" t="s">
        <v>26</v>
      </c>
      <c r="CZ92" s="143"/>
      <c r="DA92" s="143"/>
      <c r="DB92" s="143"/>
      <c r="DC92" s="143"/>
      <c r="DD92" s="143"/>
      <c r="DE92" s="143"/>
      <c r="DF92" s="19"/>
      <c r="DG92" s="43"/>
      <c r="DH92" s="43"/>
      <c r="DI92" s="165" t="s">
        <v>121</v>
      </c>
      <c r="DJ92" s="165"/>
      <c r="DK92" s="165"/>
      <c r="DL92" s="165"/>
      <c r="DM92" s="165"/>
      <c r="DN92" s="165"/>
      <c r="DO92" s="165"/>
      <c r="DP92" s="165"/>
      <c r="DQ92" s="165"/>
      <c r="DR92" s="165"/>
      <c r="DS92" s="165"/>
      <c r="DT92" s="165"/>
      <c r="DU92" s="165"/>
      <c r="DV92" s="165"/>
      <c r="DW92" s="165"/>
      <c r="DX92" s="165"/>
      <c r="DY92" s="222"/>
      <c r="DZ92" s="222"/>
      <c r="EA92" s="222"/>
      <c r="EB92" s="164" t="s">
        <v>124</v>
      </c>
      <c r="EC92" s="164"/>
      <c r="ED92" s="164"/>
      <c r="EE92" s="132" t="s">
        <v>122</v>
      </c>
      <c r="EF92" s="132"/>
      <c r="EG92" s="19"/>
      <c r="EH92" s="144">
        <f>IF(ISNUMBER(DY92),DY92*0.2641720523582,"")</f>
      </c>
      <c r="EI92" s="144"/>
      <c r="EJ92" s="144"/>
      <c r="EK92" s="164" t="s">
        <v>123</v>
      </c>
      <c r="EL92" s="164"/>
      <c r="EM92" s="164"/>
      <c r="EN92" s="164"/>
      <c r="EO92" s="19"/>
      <c r="EP92" s="19"/>
      <c r="EQ92" s="43"/>
      <c r="ER92" s="67"/>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19"/>
      <c r="GB92" s="45"/>
    </row>
    <row r="93" spans="1:184" ht="7.5" customHeight="1">
      <c r="A93" s="43"/>
      <c r="B93" s="1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
      <c r="AM93" s="199"/>
      <c r="AN93" s="199"/>
      <c r="AO93" s="199"/>
      <c r="AP93" s="199"/>
      <c r="AQ93" s="199"/>
      <c r="AR93" s="199"/>
      <c r="AS93" s="199"/>
      <c r="AT93" s="199"/>
      <c r="AU93" s="199"/>
      <c r="AV93" s="199"/>
      <c r="AW93" s="199"/>
      <c r="AX93" s="199"/>
      <c r="AY93" s="199"/>
      <c r="AZ93" s="199"/>
      <c r="BA93" s="199"/>
      <c r="BB93" s="199"/>
      <c r="BC93" s="199"/>
      <c r="BD93" s="199"/>
      <c r="BE93" s="199"/>
      <c r="BF93" s="199"/>
      <c r="BG93" s="69"/>
      <c r="BH93" s="158"/>
      <c r="BI93" s="158"/>
      <c r="BJ93" s="158"/>
      <c r="BK93" s="158"/>
      <c r="BL93" s="158"/>
      <c r="BM93" s="158"/>
      <c r="BN93" s="158"/>
      <c r="BO93" s="158"/>
      <c r="BP93" s="158"/>
      <c r="BQ93" s="158"/>
      <c r="BR93" s="158"/>
      <c r="BS93" s="158"/>
      <c r="BT93" s="158"/>
      <c r="BU93" s="158"/>
      <c r="BV93" s="158"/>
      <c r="BW93" s="51"/>
      <c r="BX93" s="51"/>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70"/>
      <c r="CY93" s="143"/>
      <c r="CZ93" s="143"/>
      <c r="DA93" s="143"/>
      <c r="DB93" s="143"/>
      <c r="DC93" s="143"/>
      <c r="DD93" s="143"/>
      <c r="DE93" s="143"/>
      <c r="DF93" s="19"/>
      <c r="DG93" s="43"/>
      <c r="DH93" s="43"/>
      <c r="DI93" s="165"/>
      <c r="DJ93" s="165"/>
      <c r="DK93" s="165"/>
      <c r="DL93" s="165"/>
      <c r="DM93" s="165"/>
      <c r="DN93" s="165"/>
      <c r="DO93" s="165"/>
      <c r="DP93" s="165"/>
      <c r="DQ93" s="165"/>
      <c r="DR93" s="165"/>
      <c r="DS93" s="165"/>
      <c r="DT93" s="165"/>
      <c r="DU93" s="165"/>
      <c r="DV93" s="165"/>
      <c r="DW93" s="165"/>
      <c r="DX93" s="165"/>
      <c r="DY93" s="222"/>
      <c r="DZ93" s="222"/>
      <c r="EA93" s="222"/>
      <c r="EB93" s="164"/>
      <c r="EC93" s="164"/>
      <c r="ED93" s="164"/>
      <c r="EE93" s="132"/>
      <c r="EF93" s="132"/>
      <c r="EG93" s="19"/>
      <c r="EH93" s="144"/>
      <c r="EI93" s="144"/>
      <c r="EJ93" s="144"/>
      <c r="EK93" s="164"/>
      <c r="EL93" s="164"/>
      <c r="EM93" s="164"/>
      <c r="EN93" s="164"/>
      <c r="EO93" s="19"/>
      <c r="EP93" s="19"/>
      <c r="EQ93" s="43"/>
      <c r="ER93" s="19"/>
      <c r="ES93" s="200"/>
      <c r="ET93" s="200"/>
      <c r="EU93" s="200"/>
      <c r="EV93" s="200"/>
      <c r="EW93" s="200"/>
      <c r="EX93" s="18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64"/>
      <c r="FV93" s="201"/>
      <c r="FW93" s="201"/>
      <c r="FX93" s="201"/>
      <c r="FY93" s="201"/>
      <c r="FZ93" s="201"/>
      <c r="GA93" s="19"/>
      <c r="GB93" s="45"/>
    </row>
    <row r="94" spans="1:184" ht="7.5" customHeight="1">
      <c r="A94" s="43"/>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70"/>
      <c r="AI94" s="70"/>
      <c r="AJ94" s="70"/>
      <c r="AK94" s="70"/>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70"/>
      <c r="BS94" s="70"/>
      <c r="BT94" s="70"/>
      <c r="BU94" s="70"/>
      <c r="BV94" s="19"/>
      <c r="BW94" s="77" t="str">
        <f>IF(ISNUMBER(CQ118),"T","F")</f>
        <v>F</v>
      </c>
      <c r="BX94" s="77"/>
      <c r="BY94" s="19"/>
      <c r="BZ94" s="19"/>
      <c r="CA94" s="19"/>
      <c r="CB94" s="19"/>
      <c r="CC94" s="19"/>
      <c r="CD94" s="19"/>
      <c r="CE94" s="19"/>
      <c r="CF94" s="19"/>
      <c r="CG94" s="19"/>
      <c r="CH94" s="19"/>
      <c r="CI94" s="19"/>
      <c r="CJ94" s="19"/>
      <c r="CK94" s="19"/>
      <c r="CL94" s="19"/>
      <c r="CM94" s="19"/>
      <c r="CN94" s="19"/>
      <c r="CO94" s="62"/>
      <c r="CP94" s="62"/>
      <c r="CQ94" s="134">
        <f>IF(AND(ISNUMBER(CQ36),ISNUMBER(P33)),((P33-1)*1000*((CQ42+EA79/0.9614)/CQ36)/1000+1),"")</f>
        <v>1.0501155938363973</v>
      </c>
      <c r="CR94" s="134"/>
      <c r="CS94" s="134"/>
      <c r="CT94" s="134"/>
      <c r="CU94" s="134"/>
      <c r="CV94" s="134"/>
      <c r="CW94" s="134"/>
      <c r="CX94" s="62"/>
      <c r="CY94" s="62"/>
      <c r="CZ94" s="62"/>
      <c r="DA94" s="62"/>
      <c r="DB94" s="62"/>
      <c r="DC94" s="62"/>
      <c r="DD94" s="62"/>
      <c r="DE94" s="19"/>
      <c r="DF94" s="19"/>
      <c r="DG94" s="43"/>
      <c r="DH94" s="43"/>
      <c r="DI94" s="19"/>
      <c r="DJ94" s="19"/>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19"/>
      <c r="EI94" s="19"/>
      <c r="EJ94" s="19"/>
      <c r="EK94" s="78"/>
      <c r="EL94" s="78"/>
      <c r="EM94" s="19"/>
      <c r="EN94" s="19"/>
      <c r="EO94" s="19"/>
      <c r="EP94" s="19"/>
      <c r="EQ94" s="43"/>
      <c r="ER94" s="19"/>
      <c r="ES94" s="200"/>
      <c r="ET94" s="200"/>
      <c r="EU94" s="200"/>
      <c r="EV94" s="200"/>
      <c r="EW94" s="200"/>
      <c r="EX94" s="18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64"/>
      <c r="FV94" s="201"/>
      <c r="FW94" s="201"/>
      <c r="FX94" s="201"/>
      <c r="FY94" s="201"/>
      <c r="FZ94" s="201"/>
      <c r="GA94" s="19"/>
      <c r="GB94" s="45"/>
    </row>
    <row r="95" spans="1:184" ht="7.5" customHeight="1">
      <c r="A95" s="43"/>
      <c r="B95" s="19"/>
      <c r="C95" s="143" t="s">
        <v>172</v>
      </c>
      <c r="D95" s="143"/>
      <c r="E95" s="143"/>
      <c r="F95" s="143"/>
      <c r="G95" s="143"/>
      <c r="H95" s="143"/>
      <c r="I95" s="143"/>
      <c r="J95" s="143"/>
      <c r="K95" s="143"/>
      <c r="L95" s="143"/>
      <c r="M95" s="143"/>
      <c r="N95" s="143"/>
      <c r="O95" s="70"/>
      <c r="P95" s="143" t="s">
        <v>16</v>
      </c>
      <c r="Q95" s="143"/>
      <c r="R95" s="143"/>
      <c r="S95" s="70"/>
      <c r="T95" s="143" t="s">
        <v>17</v>
      </c>
      <c r="U95" s="143"/>
      <c r="V95" s="143"/>
      <c r="W95" s="70"/>
      <c r="X95" s="143" t="s">
        <v>11</v>
      </c>
      <c r="Y95" s="143"/>
      <c r="Z95" s="143"/>
      <c r="AA95" s="143"/>
      <c r="AB95" s="143" t="s">
        <v>18</v>
      </c>
      <c r="AC95" s="143"/>
      <c r="AD95" s="143"/>
      <c r="AE95" s="143"/>
      <c r="AF95" s="143"/>
      <c r="AG95" s="143"/>
      <c r="AH95" s="229" t="s">
        <v>116</v>
      </c>
      <c r="AI95" s="229"/>
      <c r="AJ95" s="229"/>
      <c r="AK95" s="229"/>
      <c r="AL95" s="229"/>
      <c r="AM95" s="143" t="s">
        <v>165</v>
      </c>
      <c r="AN95" s="143"/>
      <c r="AO95" s="143"/>
      <c r="AP95" s="143"/>
      <c r="AQ95" s="143"/>
      <c r="AR95" s="143"/>
      <c r="AS95" s="143"/>
      <c r="AT95" s="143"/>
      <c r="AU95" s="143"/>
      <c r="AV95" s="143"/>
      <c r="AW95" s="143"/>
      <c r="AX95" s="71"/>
      <c r="AY95" s="70"/>
      <c r="AZ95" s="143" t="s">
        <v>16</v>
      </c>
      <c r="BA95" s="143"/>
      <c r="BB95" s="143"/>
      <c r="BC95" s="70"/>
      <c r="BD95" s="143" t="s">
        <v>17</v>
      </c>
      <c r="BE95" s="143"/>
      <c r="BF95" s="143"/>
      <c r="BG95" s="70"/>
      <c r="BH95" s="143" t="s">
        <v>11</v>
      </c>
      <c r="BI95" s="143"/>
      <c r="BJ95" s="143"/>
      <c r="BK95" s="143"/>
      <c r="BL95" s="143" t="s">
        <v>18</v>
      </c>
      <c r="BM95" s="143"/>
      <c r="BN95" s="143"/>
      <c r="BO95" s="143"/>
      <c r="BP95" s="143"/>
      <c r="BQ95" s="143"/>
      <c r="BR95" s="229" t="s">
        <v>116</v>
      </c>
      <c r="BS95" s="229"/>
      <c r="BT95" s="229"/>
      <c r="BU95" s="229"/>
      <c r="BV95" s="229"/>
      <c r="BW95" s="77"/>
      <c r="BX95" s="77"/>
      <c r="BY95" s="165" t="s">
        <v>329</v>
      </c>
      <c r="BZ95" s="165"/>
      <c r="CA95" s="165"/>
      <c r="CB95" s="165"/>
      <c r="CC95" s="165"/>
      <c r="CD95" s="165"/>
      <c r="CE95" s="165"/>
      <c r="CF95" s="165"/>
      <c r="CG95" s="165"/>
      <c r="CH95" s="165"/>
      <c r="CI95" s="165"/>
      <c r="CJ95" s="165"/>
      <c r="CK95" s="165"/>
      <c r="CL95" s="165"/>
      <c r="CM95" s="165"/>
      <c r="CN95" s="165"/>
      <c r="CO95" s="165"/>
      <c r="CP95" s="165"/>
      <c r="CQ95" s="264">
        <f>IF(AND(ISNUMBER(CQ36),ISNUMBER(P33)),((P33-1)*1000*(100-ER157)/100)*((CQ42+EA79/0.9614)/CQ36)/1000+1,"")</f>
        <v>1.0501155938363973</v>
      </c>
      <c r="CR95" s="264"/>
      <c r="CS95" s="264"/>
      <c r="CT95" s="264"/>
      <c r="CU95" s="264"/>
      <c r="CV95" s="264"/>
      <c r="CW95" s="264"/>
      <c r="CX95" s="19"/>
      <c r="CY95" s="221"/>
      <c r="CZ95" s="221"/>
      <c r="DA95" s="221"/>
      <c r="DB95" s="221"/>
      <c r="DC95" s="221"/>
      <c r="DD95" s="221"/>
      <c r="DE95" s="221"/>
      <c r="DF95" s="19"/>
      <c r="DG95" s="43"/>
      <c r="DH95" s="43"/>
      <c r="DI95" s="165" t="s">
        <v>380</v>
      </c>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31"/>
      <c r="EL95" s="131"/>
      <c r="EM95" s="131"/>
      <c r="EN95" s="19"/>
      <c r="EO95" s="19"/>
      <c r="EP95" s="19"/>
      <c r="EQ95" s="43"/>
      <c r="ER95" s="67"/>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19"/>
      <c r="GB95" s="45"/>
    </row>
    <row r="96" spans="1:184" ht="7.5" customHeight="1">
      <c r="A96" s="43"/>
      <c r="B96" s="19"/>
      <c r="C96" s="143"/>
      <c r="D96" s="143"/>
      <c r="E96" s="143"/>
      <c r="F96" s="143"/>
      <c r="G96" s="143"/>
      <c r="H96" s="143"/>
      <c r="I96" s="143"/>
      <c r="J96" s="143"/>
      <c r="K96" s="143"/>
      <c r="L96" s="143"/>
      <c r="M96" s="143"/>
      <c r="N96" s="143"/>
      <c r="O96" s="70"/>
      <c r="P96" s="143"/>
      <c r="Q96" s="143"/>
      <c r="R96" s="143"/>
      <c r="S96" s="70"/>
      <c r="T96" s="143"/>
      <c r="U96" s="143"/>
      <c r="V96" s="143"/>
      <c r="W96" s="70"/>
      <c r="X96" s="143"/>
      <c r="Y96" s="143"/>
      <c r="Z96" s="143"/>
      <c r="AA96" s="143"/>
      <c r="AB96" s="143"/>
      <c r="AC96" s="143"/>
      <c r="AD96" s="143"/>
      <c r="AE96" s="143"/>
      <c r="AF96" s="143"/>
      <c r="AG96" s="143"/>
      <c r="AH96" s="229"/>
      <c r="AI96" s="229"/>
      <c r="AJ96" s="229"/>
      <c r="AK96" s="229"/>
      <c r="AL96" s="229"/>
      <c r="AM96" s="143"/>
      <c r="AN96" s="143"/>
      <c r="AO96" s="143"/>
      <c r="AP96" s="143"/>
      <c r="AQ96" s="143"/>
      <c r="AR96" s="143"/>
      <c r="AS96" s="143"/>
      <c r="AT96" s="143"/>
      <c r="AU96" s="143"/>
      <c r="AV96" s="143"/>
      <c r="AW96" s="143"/>
      <c r="AX96" s="71"/>
      <c r="AY96" s="70"/>
      <c r="AZ96" s="143"/>
      <c r="BA96" s="143"/>
      <c r="BB96" s="143"/>
      <c r="BC96" s="70"/>
      <c r="BD96" s="143"/>
      <c r="BE96" s="143"/>
      <c r="BF96" s="143"/>
      <c r="BG96" s="70"/>
      <c r="BH96" s="143"/>
      <c r="BI96" s="143"/>
      <c r="BJ96" s="143"/>
      <c r="BK96" s="143"/>
      <c r="BL96" s="143"/>
      <c r="BM96" s="143"/>
      <c r="BN96" s="143"/>
      <c r="BO96" s="143"/>
      <c r="BP96" s="143"/>
      <c r="BQ96" s="143"/>
      <c r="BR96" s="229"/>
      <c r="BS96" s="229"/>
      <c r="BT96" s="229"/>
      <c r="BU96" s="229"/>
      <c r="BV96" s="229"/>
      <c r="BW96" s="77" t="str">
        <f>IF(AND(CY98&gt;0,ISNUMBER(DG85)),"T","F")</f>
        <v>F</v>
      </c>
      <c r="BX96" s="77"/>
      <c r="BY96" s="165"/>
      <c r="BZ96" s="165"/>
      <c r="CA96" s="165"/>
      <c r="CB96" s="165"/>
      <c r="CC96" s="165"/>
      <c r="CD96" s="165"/>
      <c r="CE96" s="165"/>
      <c r="CF96" s="165"/>
      <c r="CG96" s="165"/>
      <c r="CH96" s="165"/>
      <c r="CI96" s="165"/>
      <c r="CJ96" s="165"/>
      <c r="CK96" s="165"/>
      <c r="CL96" s="165"/>
      <c r="CM96" s="165"/>
      <c r="CN96" s="165"/>
      <c r="CO96" s="165"/>
      <c r="CP96" s="165"/>
      <c r="CQ96" s="264"/>
      <c r="CR96" s="264"/>
      <c r="CS96" s="264"/>
      <c r="CT96" s="264"/>
      <c r="CU96" s="264"/>
      <c r="CV96" s="264"/>
      <c r="CW96" s="264"/>
      <c r="CX96" s="19"/>
      <c r="CY96" s="221"/>
      <c r="CZ96" s="221"/>
      <c r="DA96" s="221"/>
      <c r="DB96" s="221"/>
      <c r="DC96" s="221"/>
      <c r="DD96" s="221"/>
      <c r="DE96" s="221"/>
      <c r="DF96" s="19"/>
      <c r="DG96" s="43"/>
      <c r="DH96" s="43"/>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31"/>
      <c r="EL96" s="131"/>
      <c r="EM96" s="131"/>
      <c r="EN96" s="19"/>
      <c r="EO96" s="19"/>
      <c r="EP96" s="19"/>
      <c r="EQ96" s="43"/>
      <c r="ER96" s="19"/>
      <c r="ES96" s="200"/>
      <c r="ET96" s="200"/>
      <c r="EU96" s="200"/>
      <c r="EV96" s="200"/>
      <c r="EW96" s="200"/>
      <c r="EX96" s="18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64"/>
      <c r="FV96" s="201"/>
      <c r="FW96" s="201"/>
      <c r="FX96" s="201"/>
      <c r="FY96" s="201"/>
      <c r="FZ96" s="201"/>
      <c r="GA96" s="19"/>
      <c r="GB96" s="45"/>
    </row>
    <row r="97" spans="1:184" ht="7.5" customHeight="1" thickBot="1">
      <c r="A97" s="43"/>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77"/>
      <c r="BX97" s="77"/>
      <c r="BY97" s="62"/>
      <c r="BZ97" s="62"/>
      <c r="CA97" s="62"/>
      <c r="CB97" s="62"/>
      <c r="CC97" s="62"/>
      <c r="CD97" s="62"/>
      <c r="CE97" s="62"/>
      <c r="CF97" s="62"/>
      <c r="CG97" s="62"/>
      <c r="CH97" s="62"/>
      <c r="CI97" s="62"/>
      <c r="CJ97" s="62"/>
      <c r="CK97" s="62"/>
      <c r="CL97" s="62"/>
      <c r="CM97" s="62"/>
      <c r="CN97" s="19"/>
      <c r="CO97" s="19"/>
      <c r="CP97" s="19"/>
      <c r="CQ97" s="130">
        <f>IF(AND(ISNUMBER($CQ$118),ISNUMBER(CQ98),ISNUMBER($CZ$111)),((CQ98-1)*($CQ$82-$CQ$105)/($DG$85-$CQ79-$CQ$105+$CQ$108)+$CZ$111/16*45/$CZ$118/1000+1),IF(AND(ISNUMBER($CQ$118),ISNUMBER(CQ98)),((CQ98-1)*($DG$85-$CQ79-$CQ$105)/($DG$85-$CQ79-$CQ$105+$CQ$108)+1),IF(AND(ISNUMBER($CQ$118),ISNUMBER(CQ98),ISNUMBER($CZ$111)),CQ98+$CZ$111/16*45/$CZ$118/1000+1,IF(AND(ISNUMBER($CQ$118),ISNUMBER(CQ98)),CQ98,""))))</f>
      </c>
      <c r="CR97" s="130"/>
      <c r="CS97" s="130"/>
      <c r="CT97" s="130"/>
      <c r="CU97" s="130"/>
      <c r="CV97" s="130"/>
      <c r="CW97" s="130"/>
      <c r="CX97" s="130"/>
      <c r="CY97" s="130">
        <f>IF(AND(ISNUMBER($CQ$118),ISNUMBER(CY98),ISNUMBER($CZ$111)),((CY98-1)*($CQ$82-$CQ$105)/($DG$85-$CQ79-$CQ$105+$CQ$108)+$CZ$111/16*45/$CZ$118/1000+1),IF(AND(ISNUMBER($CQ$118),ISNUMBER(CY98)),((CY98-1)*($DG$85-$CQ79-$CQ$105)/($DG$85-$CQ79-$CQ$105+$CQ$108)+1),IF(AND(ISNUMBER($CQ$118),ISNUMBER(CQY8),ISNUMBER($CZ$111)),CY98+$CZ$111/16*45/$CZ$118/1000+1,IF(AND(ISNUMBER($CQ$118),ISNUMBER(CY98)),CY98,""))))</f>
      </c>
      <c r="CZ97" s="130"/>
      <c r="DA97" s="130"/>
      <c r="DB97" s="130"/>
      <c r="DC97" s="130"/>
      <c r="DD97" s="130"/>
      <c r="DE97" s="130"/>
      <c r="DF97" s="19"/>
      <c r="DG97" s="43"/>
      <c r="DH97" s="43"/>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43"/>
      <c r="ER97" s="19"/>
      <c r="ES97" s="200"/>
      <c r="ET97" s="200"/>
      <c r="EU97" s="200"/>
      <c r="EV97" s="200"/>
      <c r="EW97" s="200"/>
      <c r="EX97" s="18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64"/>
      <c r="FV97" s="201"/>
      <c r="FW97" s="201"/>
      <c r="FX97" s="201"/>
      <c r="FY97" s="201"/>
      <c r="FZ97" s="201"/>
      <c r="GA97" s="19"/>
      <c r="GB97" s="45"/>
    </row>
    <row r="98" spans="1:184" ht="7.5" customHeight="1">
      <c r="A98" s="43"/>
      <c r="B98" s="19"/>
      <c r="C98" s="139" t="s">
        <v>392</v>
      </c>
      <c r="D98" s="140"/>
      <c r="E98" s="140"/>
      <c r="F98" s="140"/>
      <c r="G98" s="140"/>
      <c r="H98" s="140"/>
      <c r="I98" s="140"/>
      <c r="J98" s="140"/>
      <c r="K98" s="137"/>
      <c r="L98" s="137"/>
      <c r="M98" s="137" t="s">
        <v>393</v>
      </c>
      <c r="N98" s="137"/>
      <c r="O98" s="19"/>
      <c r="P98" s="251">
        <v>11</v>
      </c>
      <c r="Q98" s="252"/>
      <c r="R98" s="252"/>
      <c r="S98" s="79"/>
      <c r="T98" s="260"/>
      <c r="U98" s="261"/>
      <c r="V98" s="261"/>
      <c r="W98" s="79"/>
      <c r="X98" s="251">
        <v>21.26214</v>
      </c>
      <c r="Y98" s="252"/>
      <c r="Z98" s="252"/>
      <c r="AA98" s="252"/>
      <c r="AB98" s="130">
        <f>IF(OR(OR(M98="DH",M98="DR"),AND(ISNUMBER(T98),T98=0)),(1-EXP(1)^(-0.04*0.001))/4.15,IF(T98&gt;0,(1-EXP(1)^(-0.04*T98))/4.15,IF(T98="","")))</f>
      </c>
      <c r="AC98" s="162">
        <f>IF(ISNUMBER(X98),X98*0.03527396194958,"")</f>
        <v>0.7499999173266428</v>
      </c>
      <c r="AD98" s="162"/>
      <c r="AE98" s="162"/>
      <c r="AF98" s="162"/>
      <c r="AG98" s="130">
        <f>IF(OR($BG$86&gt;0,$BP$89&gt;0),IF(AND(P98&gt;0,X98&gt;0,$BG$86&gt;0),(P98/100*X98*1000)/$BG$86,IF(AND(P98&gt;0,X98&gt;0,ISNUMBER($CQ$45)),(P98/100*X98*1000)/$CQ$45,"")))</f>
        <v>88.26526730521023</v>
      </c>
      <c r="AH98" s="194">
        <f>IF(AND(ISNUMBER(AL98),$BG$86&gt;0),AL98,"")</f>
      </c>
      <c r="AI98" s="194"/>
      <c r="AJ98" s="194"/>
      <c r="AK98" s="194"/>
      <c r="AL98" s="130">
        <f>IF(AND(ISNUMBER($F$122),ISNUMBER(AB98),ISNUMBER(AG98)),$F$122*AB98*AG98*IF(K98="FL",1,IF(K98="PL",1.02,1.1)),"")</f>
      </c>
      <c r="AM98" s="137"/>
      <c r="AN98" s="137"/>
      <c r="AO98" s="137"/>
      <c r="AP98" s="137"/>
      <c r="AQ98" s="137"/>
      <c r="AR98" s="137"/>
      <c r="AS98" s="137"/>
      <c r="AT98" s="137"/>
      <c r="AU98" s="137"/>
      <c r="AV98" s="137"/>
      <c r="AW98" s="137"/>
      <c r="AX98" s="137"/>
      <c r="AY98" s="130" t="str">
        <f>IF(C98&gt;0,IF(AM98&gt;0,AM98,C98),"")</f>
        <v>Citra</v>
      </c>
      <c r="AZ98" s="216"/>
      <c r="BA98" s="216"/>
      <c r="BB98" s="216"/>
      <c r="BC98" s="130">
        <f>IF(P98&gt;0,IF(AZ98&gt;0,AZ98,P98),"")</f>
        <v>11</v>
      </c>
      <c r="BD98" s="159"/>
      <c r="BE98" s="159"/>
      <c r="BF98" s="159"/>
      <c r="BG98" s="280">
        <f>IF(BQ98="FL",1,IF(BQ98="PL",1.02,IF(BQ98="PE",1.1,1)))</f>
        <v>1.1</v>
      </c>
      <c r="BH98" s="217">
        <f>IF(AND(ISNUMBER($CQ$45),ISNUMBER($AP$122),ISNUMBER(BL98),ISNUMBER(BR98),BC98&gt;0),((BR98*($CQ$45+$EA$79))/($AP$122*BL98))/BC98/10/BG98,"")</f>
      </c>
      <c r="BI98" s="218"/>
      <c r="BJ98" s="218"/>
      <c r="BK98" s="218"/>
      <c r="BL98" s="279">
        <f>IF(OR(OR(AW98="DH",AW98="DR"),AND(ISNUMBER(BD98),BD98=0)),(1-EXP(1)^(-0.04*0.001))/4.15,IF(BD98&gt;0,(1-EXP(1)^(-0.04*BD98))/4.15,IF(BD98="",IF(T98=0,(1-EXP(1)^(-0.04*0.001))/4.15,(1-EXP(1)^(-0.04*T98))/4.15))))</f>
        <v>9.6383614483718E-06</v>
      </c>
      <c r="BM98" s="224">
        <f>IF(ISNUMBER(BH98),BH98*0.03527396194958,"")</f>
      </c>
      <c r="BN98" s="225"/>
      <c r="BO98" s="225"/>
      <c r="BP98" s="225"/>
      <c r="BQ98" s="130" t="str">
        <f>IF(AU98&gt;0,AU98,IF(OR(K98="FL",K98="PL"),K98,"PE"))</f>
        <v>PE</v>
      </c>
      <c r="BR98" s="194">
        <f>IF(AND(ISNUMBER(AL98),ISNUMBER($BR$122)),AL98*$BR$122/$AL$122,"")</f>
      </c>
      <c r="BS98" s="194"/>
      <c r="BT98" s="194"/>
      <c r="BU98" s="194"/>
      <c r="BV98" s="19"/>
      <c r="BW98" s="77" t="str">
        <f>IF(CY98&gt;0,"T","F")</f>
        <v>F</v>
      </c>
      <c r="BX98" s="77"/>
      <c r="BY98" s="165" t="s">
        <v>331</v>
      </c>
      <c r="BZ98" s="165"/>
      <c r="CA98" s="165"/>
      <c r="CB98" s="165"/>
      <c r="CC98" s="165"/>
      <c r="CD98" s="165"/>
      <c r="CE98" s="165"/>
      <c r="CF98" s="165"/>
      <c r="CG98" s="165"/>
      <c r="CH98" s="165"/>
      <c r="CI98" s="165"/>
      <c r="CJ98" s="165"/>
      <c r="CK98" s="165"/>
      <c r="CL98" s="165"/>
      <c r="CM98" s="165"/>
      <c r="CN98" s="165"/>
      <c r="CO98" s="165"/>
      <c r="CP98" s="165"/>
      <c r="CQ98" s="264">
        <f>IF(ISNUMBER(CQ95),(((P33-1)*1000)/((CQ45-CQ48)/(CQ51)))/1000+1,"")</f>
        <v>1.061</v>
      </c>
      <c r="CR98" s="264"/>
      <c r="CS98" s="264"/>
      <c r="CT98" s="264"/>
      <c r="CU98" s="264"/>
      <c r="CV98" s="264"/>
      <c r="CW98" s="264"/>
      <c r="CX98" s="19"/>
      <c r="CY98" s="221"/>
      <c r="CZ98" s="221"/>
      <c r="DA98" s="221"/>
      <c r="DB98" s="221"/>
      <c r="DC98" s="221"/>
      <c r="DD98" s="221"/>
      <c r="DE98" s="221"/>
      <c r="DF98" s="19"/>
      <c r="DG98" s="43"/>
      <c r="DH98" s="43"/>
      <c r="DI98" s="165" t="s">
        <v>216</v>
      </c>
      <c r="DJ98" s="165"/>
      <c r="DK98" s="165"/>
      <c r="DL98" s="165"/>
      <c r="DM98" s="165"/>
      <c r="DN98" s="165"/>
      <c r="DO98" s="165"/>
      <c r="DP98" s="165"/>
      <c r="DQ98" s="165"/>
      <c r="DR98" s="216"/>
      <c r="DS98" s="216"/>
      <c r="DT98" s="216"/>
      <c r="DU98" s="179" t="s">
        <v>215</v>
      </c>
      <c r="DV98" s="179"/>
      <c r="DW98" s="179"/>
      <c r="DX98" s="179"/>
      <c r="DY98" s="179"/>
      <c r="DZ98" s="179"/>
      <c r="EA98" s="179"/>
      <c r="EB98" s="131"/>
      <c r="EC98" s="131"/>
      <c r="ED98" s="131"/>
      <c r="EE98" s="132" t="s">
        <v>6</v>
      </c>
      <c r="EF98" s="132"/>
      <c r="EG98" s="132"/>
      <c r="EH98" s="132"/>
      <c r="EI98" s="179" t="s">
        <v>1</v>
      </c>
      <c r="EJ98" s="223">
        <f>IF(ISNUMBER(EB98),EB98*0.2641720523582,"")</f>
      </c>
      <c r="EK98" s="223"/>
      <c r="EL98" s="223"/>
      <c r="EM98" s="223"/>
      <c r="EN98" s="164" t="s">
        <v>7</v>
      </c>
      <c r="EO98" s="164"/>
      <c r="EP98" s="19"/>
      <c r="EQ98" s="43"/>
      <c r="ER98" s="67"/>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19"/>
      <c r="GB98" s="45"/>
    </row>
    <row r="99" spans="1:184" ht="7.5" customHeight="1">
      <c r="A99" s="43"/>
      <c r="B99" s="19"/>
      <c r="C99" s="141"/>
      <c r="D99" s="142"/>
      <c r="E99" s="142"/>
      <c r="F99" s="142"/>
      <c r="G99" s="142"/>
      <c r="H99" s="142"/>
      <c r="I99" s="142"/>
      <c r="J99" s="142"/>
      <c r="K99" s="137"/>
      <c r="L99" s="137"/>
      <c r="M99" s="137"/>
      <c r="N99" s="137"/>
      <c r="O99" s="19"/>
      <c r="P99" s="253"/>
      <c r="Q99" s="254"/>
      <c r="R99" s="254"/>
      <c r="S99" s="79"/>
      <c r="T99" s="262"/>
      <c r="U99" s="263"/>
      <c r="V99" s="263"/>
      <c r="W99" s="79"/>
      <c r="X99" s="253"/>
      <c r="Y99" s="254"/>
      <c r="Z99" s="254"/>
      <c r="AA99" s="254"/>
      <c r="AB99" s="130"/>
      <c r="AC99" s="162"/>
      <c r="AD99" s="162"/>
      <c r="AE99" s="162"/>
      <c r="AF99" s="162"/>
      <c r="AG99" s="130"/>
      <c r="AH99" s="194"/>
      <c r="AI99" s="194"/>
      <c r="AJ99" s="194"/>
      <c r="AK99" s="194"/>
      <c r="AL99" s="130"/>
      <c r="AM99" s="137"/>
      <c r="AN99" s="137"/>
      <c r="AO99" s="137"/>
      <c r="AP99" s="137"/>
      <c r="AQ99" s="137"/>
      <c r="AR99" s="137"/>
      <c r="AS99" s="137"/>
      <c r="AT99" s="137"/>
      <c r="AU99" s="137"/>
      <c r="AV99" s="137"/>
      <c r="AW99" s="137"/>
      <c r="AX99" s="137"/>
      <c r="AY99" s="130"/>
      <c r="AZ99" s="216"/>
      <c r="BA99" s="216"/>
      <c r="BB99" s="216"/>
      <c r="BC99" s="130"/>
      <c r="BD99" s="159"/>
      <c r="BE99" s="159"/>
      <c r="BF99" s="159"/>
      <c r="BG99" s="280"/>
      <c r="BH99" s="219"/>
      <c r="BI99" s="220"/>
      <c r="BJ99" s="220"/>
      <c r="BK99" s="220"/>
      <c r="BL99" s="279"/>
      <c r="BM99" s="226"/>
      <c r="BN99" s="227"/>
      <c r="BO99" s="227"/>
      <c r="BP99" s="227"/>
      <c r="BQ99" s="130"/>
      <c r="BR99" s="194"/>
      <c r="BS99" s="194"/>
      <c r="BT99" s="194"/>
      <c r="BU99" s="194"/>
      <c r="BV99" s="19"/>
      <c r="BW99" s="77"/>
      <c r="BX99" s="77"/>
      <c r="BY99" s="165"/>
      <c r="BZ99" s="165"/>
      <c r="CA99" s="165"/>
      <c r="CB99" s="165"/>
      <c r="CC99" s="165"/>
      <c r="CD99" s="165"/>
      <c r="CE99" s="165"/>
      <c r="CF99" s="165"/>
      <c r="CG99" s="165"/>
      <c r="CH99" s="165"/>
      <c r="CI99" s="165"/>
      <c r="CJ99" s="165"/>
      <c r="CK99" s="165"/>
      <c r="CL99" s="165"/>
      <c r="CM99" s="165"/>
      <c r="CN99" s="165"/>
      <c r="CO99" s="165"/>
      <c r="CP99" s="165"/>
      <c r="CQ99" s="264"/>
      <c r="CR99" s="264"/>
      <c r="CS99" s="264"/>
      <c r="CT99" s="264"/>
      <c r="CU99" s="264"/>
      <c r="CV99" s="264"/>
      <c r="CW99" s="264"/>
      <c r="CX99" s="19"/>
      <c r="CY99" s="221"/>
      <c r="CZ99" s="221"/>
      <c r="DA99" s="221"/>
      <c r="DB99" s="221"/>
      <c r="DC99" s="221"/>
      <c r="DD99" s="221"/>
      <c r="DE99" s="221"/>
      <c r="DF99" s="19"/>
      <c r="DG99" s="43"/>
      <c r="DH99" s="43"/>
      <c r="DI99" s="165"/>
      <c r="DJ99" s="165"/>
      <c r="DK99" s="165"/>
      <c r="DL99" s="165"/>
      <c r="DM99" s="165"/>
      <c r="DN99" s="165"/>
      <c r="DO99" s="165"/>
      <c r="DP99" s="165"/>
      <c r="DQ99" s="165"/>
      <c r="DR99" s="216"/>
      <c r="DS99" s="216"/>
      <c r="DT99" s="216"/>
      <c r="DU99" s="179"/>
      <c r="DV99" s="179"/>
      <c r="DW99" s="179"/>
      <c r="DX99" s="179"/>
      <c r="DY99" s="179"/>
      <c r="DZ99" s="179"/>
      <c r="EA99" s="179"/>
      <c r="EB99" s="131"/>
      <c r="EC99" s="131"/>
      <c r="ED99" s="131"/>
      <c r="EE99" s="132"/>
      <c r="EF99" s="132"/>
      <c r="EG99" s="132"/>
      <c r="EH99" s="132"/>
      <c r="EI99" s="179"/>
      <c r="EJ99" s="223"/>
      <c r="EK99" s="223"/>
      <c r="EL99" s="223"/>
      <c r="EM99" s="223"/>
      <c r="EN99" s="164"/>
      <c r="EO99" s="164"/>
      <c r="EP99" s="19"/>
      <c r="EQ99" s="43"/>
      <c r="ER99" s="19"/>
      <c r="ES99" s="200"/>
      <c r="ET99" s="200"/>
      <c r="EU99" s="200"/>
      <c r="EV99" s="200"/>
      <c r="EW99" s="200"/>
      <c r="EX99" s="18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64"/>
      <c r="FV99" s="201"/>
      <c r="FW99" s="201"/>
      <c r="FX99" s="201"/>
      <c r="FY99" s="201"/>
      <c r="FZ99" s="201"/>
      <c r="GA99" s="19"/>
      <c r="GB99" s="45"/>
    </row>
    <row r="100" spans="1:184" ht="7.5" customHeight="1" thickBot="1">
      <c r="A100" s="43"/>
      <c r="B100" s="19"/>
      <c r="C100" s="19"/>
      <c r="D100" s="19"/>
      <c r="E100" s="19"/>
      <c r="F100" s="19"/>
      <c r="G100" s="19"/>
      <c r="H100" s="19"/>
      <c r="I100" s="19"/>
      <c r="J100" s="19"/>
      <c r="K100" s="19"/>
      <c r="L100" s="19"/>
      <c r="M100" s="19"/>
      <c r="N100" s="19"/>
      <c r="O100" s="19"/>
      <c r="P100" s="79"/>
      <c r="Q100" s="79"/>
      <c r="R100" s="79"/>
      <c r="S100" s="79"/>
      <c r="T100" s="79"/>
      <c r="U100" s="79"/>
      <c r="V100" s="79"/>
      <c r="W100" s="79"/>
      <c r="X100" s="80"/>
      <c r="Y100" s="80"/>
      <c r="Z100" s="80"/>
      <c r="AA100" s="80"/>
      <c r="AB100" s="74"/>
      <c r="AC100" s="81"/>
      <c r="AD100" s="81"/>
      <c r="AE100" s="81"/>
      <c r="AF100" s="81"/>
      <c r="AG100" s="74">
        <v>20</v>
      </c>
      <c r="AH100" s="66"/>
      <c r="AI100" s="66"/>
      <c r="AJ100" s="66"/>
      <c r="AK100" s="66"/>
      <c r="AL100" s="74"/>
      <c r="AM100" s="19"/>
      <c r="AN100" s="19"/>
      <c r="AO100" s="19"/>
      <c r="AP100" s="19"/>
      <c r="AQ100" s="19"/>
      <c r="AR100" s="19"/>
      <c r="AS100" s="19"/>
      <c r="AT100" s="19"/>
      <c r="AU100" s="19"/>
      <c r="AV100" s="19"/>
      <c r="AW100" s="19"/>
      <c r="AX100" s="19"/>
      <c r="AY100" s="74"/>
      <c r="AZ100" s="79"/>
      <c r="BA100" s="79"/>
      <c r="BB100" s="79"/>
      <c r="BC100" s="74"/>
      <c r="BD100" s="20"/>
      <c r="BE100" s="20"/>
      <c r="BF100" s="20"/>
      <c r="BG100" s="74"/>
      <c r="BH100" s="82"/>
      <c r="BI100" s="82"/>
      <c r="BJ100" s="82"/>
      <c r="BK100" s="82"/>
      <c r="BL100" s="83"/>
      <c r="BM100" s="84"/>
      <c r="BN100" s="84"/>
      <c r="BO100" s="84"/>
      <c r="BP100" s="84"/>
      <c r="BQ100" s="74"/>
      <c r="BR100" s="66"/>
      <c r="BS100" s="66"/>
      <c r="BT100" s="66"/>
      <c r="BU100" s="66"/>
      <c r="BV100" s="19"/>
      <c r="BW100" s="77" t="str">
        <f>IF(ISNUMBER(DG85),"T","F")</f>
        <v>F</v>
      </c>
      <c r="BX100" s="77"/>
      <c r="BY100" s="248">
        <f>IF(OR(A62="!",A65="!",A68="!",A71="!",A74="!",A77="!",A80="!",A83="!",BW61="!",BW64="!",BW67="!",BW70="!",BW73="!",BW76="!",BW80="!",BW83="!"),"Gravities above assume all fermentable have been added.","")</f>
      </c>
      <c r="BZ100" s="248"/>
      <c r="CA100" s="248"/>
      <c r="CB100" s="248"/>
      <c r="CC100" s="248"/>
      <c r="CD100" s="248"/>
      <c r="CE100" s="248"/>
      <c r="CF100" s="248"/>
      <c r="CG100" s="248"/>
      <c r="CH100" s="248"/>
      <c r="CI100" s="248"/>
      <c r="CJ100" s="248"/>
      <c r="CK100" s="248"/>
      <c r="CL100" s="248"/>
      <c r="CM100" s="248"/>
      <c r="CN100" s="248"/>
      <c r="CO100" s="248"/>
      <c r="CP100" s="248"/>
      <c r="CQ100" s="248"/>
      <c r="CR100" s="248"/>
      <c r="CS100" s="248"/>
      <c r="CT100" s="248"/>
      <c r="CU100" s="248"/>
      <c r="CV100" s="248"/>
      <c r="CW100" s="248"/>
      <c r="CX100" s="248"/>
      <c r="CY100" s="248"/>
      <c r="CZ100" s="248"/>
      <c r="DA100" s="248"/>
      <c r="DB100" s="248"/>
      <c r="DC100" s="248"/>
      <c r="DD100" s="248"/>
      <c r="DE100" s="248"/>
      <c r="DF100" s="248"/>
      <c r="DG100" s="43"/>
      <c r="DH100" s="43"/>
      <c r="DI100" s="19"/>
      <c r="DJ100" s="19"/>
      <c r="DK100" s="19"/>
      <c r="DL100" s="19"/>
      <c r="DM100" s="19"/>
      <c r="DN100" s="19"/>
      <c r="DO100" s="19"/>
      <c r="DP100" s="19"/>
      <c r="DQ100" s="19"/>
      <c r="DR100" s="19"/>
      <c r="DS100" s="19"/>
      <c r="DT100" s="19"/>
      <c r="DU100" s="19"/>
      <c r="DV100" s="19"/>
      <c r="DW100" s="19"/>
      <c r="DX100" s="19"/>
      <c r="DY100" s="19"/>
      <c r="DZ100" s="19"/>
      <c r="EA100" s="19"/>
      <c r="EB100" s="78"/>
      <c r="EC100" s="78"/>
      <c r="ED100" s="19"/>
      <c r="EE100" s="19"/>
      <c r="EF100" s="19"/>
      <c r="EG100" s="19"/>
      <c r="EH100" s="19"/>
      <c r="EI100" s="19"/>
      <c r="EJ100" s="19"/>
      <c r="EK100" s="19"/>
      <c r="EL100" s="19"/>
      <c r="EM100" s="19"/>
      <c r="EN100" s="19"/>
      <c r="EO100" s="19"/>
      <c r="EP100" s="19"/>
      <c r="EQ100" s="43"/>
      <c r="ER100" s="19"/>
      <c r="ES100" s="200"/>
      <c r="ET100" s="200"/>
      <c r="EU100" s="200"/>
      <c r="EV100" s="200"/>
      <c r="EW100" s="200"/>
      <c r="EX100" s="18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64"/>
      <c r="FV100" s="201"/>
      <c r="FW100" s="201"/>
      <c r="FX100" s="201"/>
      <c r="FY100" s="201"/>
      <c r="FZ100" s="201"/>
      <c r="GA100" s="19"/>
      <c r="GB100" s="45"/>
    </row>
    <row r="101" spans="1:184" ht="7.5" customHeight="1">
      <c r="A101" s="43"/>
      <c r="B101" s="19"/>
      <c r="C101" s="139" t="s">
        <v>392</v>
      </c>
      <c r="D101" s="140"/>
      <c r="E101" s="140"/>
      <c r="F101" s="140"/>
      <c r="G101" s="140"/>
      <c r="H101" s="140"/>
      <c r="I101" s="140"/>
      <c r="J101" s="140"/>
      <c r="K101" s="137"/>
      <c r="L101" s="137"/>
      <c r="M101" s="137"/>
      <c r="N101" s="137"/>
      <c r="O101" s="19"/>
      <c r="P101" s="251">
        <v>11</v>
      </c>
      <c r="Q101" s="252"/>
      <c r="R101" s="252"/>
      <c r="S101" s="79"/>
      <c r="T101" s="260">
        <v>15</v>
      </c>
      <c r="U101" s="261"/>
      <c r="V101" s="261"/>
      <c r="W101" s="79"/>
      <c r="X101" s="251">
        <v>35.4369</v>
      </c>
      <c r="Y101" s="252"/>
      <c r="Z101" s="252"/>
      <c r="AA101" s="252"/>
      <c r="AB101" s="130">
        <f>IF(OR(OR(M101="DH",M101="DR"),AND(ISNUMBER(T101),T101=0)),(1-EXP(1)^(-0.04*0.001))/4.15,IF(T101&gt;0,(1-EXP(1)^(-0.04*T101))/4.15,IF(T101="","")))</f>
        <v>0.10872008768818638</v>
      </c>
      <c r="AC101" s="162">
        <f>IF(ISNUMBER(X101),X101*0.03527396194958,"")</f>
        <v>1.2499998622110715</v>
      </c>
      <c r="AD101" s="162"/>
      <c r="AE101" s="162"/>
      <c r="AF101" s="162"/>
      <c r="AG101" s="130">
        <f>IF(OR($BG$86&gt;0,$BP$89&gt;0),IF(AND(P101&gt;0,X101&gt;0,$BG$86&gt;0),(P101/100*X101*1000)/$BG$86,IF(AND(P101&gt;0,X101&gt;0,ISNUMBER($CQ$45)),(P101/100*X101*1000)/$CQ$45,"")))</f>
        <v>147.10877884201707</v>
      </c>
      <c r="AH101" s="194">
        <f>IF(AND(ISNUMBER(AL101),$BG$86&gt;0),AL101,"")</f>
        <v>16.77785839235703</v>
      </c>
      <c r="AI101" s="194"/>
      <c r="AJ101" s="194"/>
      <c r="AK101" s="194"/>
      <c r="AL101" s="130">
        <f>IF(AND(ISNUMBER($F$122),ISNUMBER(AB101),ISNUMBER(AG101)),$F$122*AB101*AG101*IF(K101="FL",1,IF(K101="PL",1.02,1.1)),"")</f>
        <v>16.77785839235703</v>
      </c>
      <c r="AM101" s="137"/>
      <c r="AN101" s="137"/>
      <c r="AO101" s="137"/>
      <c r="AP101" s="137"/>
      <c r="AQ101" s="137"/>
      <c r="AR101" s="137"/>
      <c r="AS101" s="137"/>
      <c r="AT101" s="137"/>
      <c r="AU101" s="137"/>
      <c r="AV101" s="137"/>
      <c r="AW101" s="137"/>
      <c r="AX101" s="137"/>
      <c r="AY101" s="130" t="str">
        <f>IF(C101&gt;0,IF(AM101&gt;0,AM101,C101),"")</f>
        <v>Citra</v>
      </c>
      <c r="AZ101" s="216"/>
      <c r="BA101" s="216"/>
      <c r="BB101" s="216"/>
      <c r="BC101" s="130">
        <f>IF(P101&gt;0,IF(AZ101&gt;0,AZ101,P101),"")</f>
        <v>11</v>
      </c>
      <c r="BD101" s="159"/>
      <c r="BE101" s="159"/>
      <c r="BF101" s="159"/>
      <c r="BG101" s="280">
        <f>IF(BQ101="FL",1,IF(BQ101="PL",1.02,IF(BQ101="PE",1.1,1)))</f>
        <v>1.1</v>
      </c>
      <c r="BH101" s="217">
        <f>IF(AND(ISNUMBER($CQ$45),ISNUMBER($AP$122),ISNUMBER(BL101),ISNUMBER(BR101),BC101&gt;0),((BR101*($CQ$45+$EA$79))/($AP$122*BL101))/BC101/10/BG101,"")</f>
        <v>26.150878640886184</v>
      </c>
      <c r="BI101" s="218"/>
      <c r="BJ101" s="218"/>
      <c r="BK101" s="218"/>
      <c r="BL101" s="279">
        <f>IF(OR(OR(AW101="DH",AW101="DR"),AND(ISNUMBER(BD101),BD101=0)),(1-EXP(1)^(-0.04*0.001))/4.15,IF(BD101&gt;0,(1-EXP(1)^(-0.04*BD101))/4.15,IF(BD101="",IF(T101=0,(1-EXP(1)^(-0.04*0.001))/4.15,(1-EXP(1)^(-0.04*T101))/4.15))))</f>
        <v>0.10872008768818638</v>
      </c>
      <c r="BM101" s="224">
        <f>IF(ISNUMBER(BH101),BH101*0.03527396194958,"")</f>
        <v>0.9224450981267035</v>
      </c>
      <c r="BN101" s="225"/>
      <c r="BO101" s="225"/>
      <c r="BP101" s="225"/>
      <c r="BQ101" s="130" t="str">
        <f>IF(AU101&gt;0,AU101,IF(OR(K101="FL",K101="PL"),K101,"PE"))</f>
        <v>PE</v>
      </c>
      <c r="BR101" s="194">
        <f>IF(AND(ISNUMBER(AL101),ISNUMBER($BR$122)),AL101*$BR$122/$AL$122,"")</f>
        <v>28.12256521120315</v>
      </c>
      <c r="BS101" s="194"/>
      <c r="BT101" s="194"/>
      <c r="BU101" s="194"/>
      <c r="BV101" s="19"/>
      <c r="BW101" s="77"/>
      <c r="BX101" s="77"/>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S101" s="248"/>
      <c r="CT101" s="248"/>
      <c r="CU101" s="248"/>
      <c r="CV101" s="248"/>
      <c r="CW101" s="248"/>
      <c r="CX101" s="248"/>
      <c r="CY101" s="248"/>
      <c r="CZ101" s="248"/>
      <c r="DA101" s="248"/>
      <c r="DB101" s="248"/>
      <c r="DC101" s="248"/>
      <c r="DD101" s="248"/>
      <c r="DE101" s="248"/>
      <c r="DF101" s="248"/>
      <c r="DG101" s="43"/>
      <c r="DH101" s="45"/>
      <c r="DI101" s="165" t="s">
        <v>217</v>
      </c>
      <c r="DJ101" s="165"/>
      <c r="DK101" s="165"/>
      <c r="DL101" s="165"/>
      <c r="DM101" s="165"/>
      <c r="DN101" s="165"/>
      <c r="DO101" s="165"/>
      <c r="DP101" s="165"/>
      <c r="DQ101" s="165"/>
      <c r="DR101" s="203"/>
      <c r="DS101" s="203"/>
      <c r="DT101" s="203"/>
      <c r="DU101" s="179" t="s">
        <v>215</v>
      </c>
      <c r="DV101" s="179"/>
      <c r="DW101" s="179"/>
      <c r="DX101" s="179"/>
      <c r="DY101" s="179"/>
      <c r="DZ101" s="179"/>
      <c r="EA101" s="179"/>
      <c r="EB101" s="131"/>
      <c r="EC101" s="131"/>
      <c r="ED101" s="131"/>
      <c r="EE101" s="132" t="s">
        <v>6</v>
      </c>
      <c r="EF101" s="132"/>
      <c r="EG101" s="132"/>
      <c r="EH101" s="132"/>
      <c r="EI101" s="179" t="s">
        <v>1</v>
      </c>
      <c r="EJ101" s="223">
        <f>IF(ISNUMBER(EB101),EB101*0.2641720523582,"")</f>
      </c>
      <c r="EK101" s="223"/>
      <c r="EL101" s="223"/>
      <c r="EM101" s="223"/>
      <c r="EN101" s="164" t="s">
        <v>7</v>
      </c>
      <c r="EO101" s="164"/>
      <c r="EP101" s="19"/>
      <c r="EQ101" s="43"/>
      <c r="ER101" s="67"/>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19"/>
      <c r="GB101" s="45"/>
    </row>
    <row r="102" spans="1:184" ht="7.5" customHeight="1">
      <c r="A102" s="43"/>
      <c r="B102" s="19"/>
      <c r="C102" s="141"/>
      <c r="D102" s="142"/>
      <c r="E102" s="142"/>
      <c r="F102" s="142"/>
      <c r="G102" s="142"/>
      <c r="H102" s="142"/>
      <c r="I102" s="142"/>
      <c r="J102" s="142"/>
      <c r="K102" s="137"/>
      <c r="L102" s="137"/>
      <c r="M102" s="137"/>
      <c r="N102" s="137"/>
      <c r="O102" s="19"/>
      <c r="P102" s="253"/>
      <c r="Q102" s="254"/>
      <c r="R102" s="254"/>
      <c r="S102" s="79"/>
      <c r="T102" s="262"/>
      <c r="U102" s="263"/>
      <c r="V102" s="263"/>
      <c r="W102" s="79"/>
      <c r="X102" s="253"/>
      <c r="Y102" s="254"/>
      <c r="Z102" s="254"/>
      <c r="AA102" s="254"/>
      <c r="AB102" s="130"/>
      <c r="AC102" s="162"/>
      <c r="AD102" s="162"/>
      <c r="AE102" s="162"/>
      <c r="AF102" s="162"/>
      <c r="AG102" s="130"/>
      <c r="AH102" s="194"/>
      <c r="AI102" s="194"/>
      <c r="AJ102" s="194"/>
      <c r="AK102" s="194"/>
      <c r="AL102" s="130"/>
      <c r="AM102" s="137"/>
      <c r="AN102" s="137"/>
      <c r="AO102" s="137"/>
      <c r="AP102" s="137"/>
      <c r="AQ102" s="137"/>
      <c r="AR102" s="137"/>
      <c r="AS102" s="137"/>
      <c r="AT102" s="137"/>
      <c r="AU102" s="137"/>
      <c r="AV102" s="137"/>
      <c r="AW102" s="137"/>
      <c r="AX102" s="137"/>
      <c r="AY102" s="130"/>
      <c r="AZ102" s="216"/>
      <c r="BA102" s="216"/>
      <c r="BB102" s="216"/>
      <c r="BC102" s="130"/>
      <c r="BD102" s="159"/>
      <c r="BE102" s="159"/>
      <c r="BF102" s="159"/>
      <c r="BG102" s="280"/>
      <c r="BH102" s="219"/>
      <c r="BI102" s="220"/>
      <c r="BJ102" s="220"/>
      <c r="BK102" s="220"/>
      <c r="BL102" s="279"/>
      <c r="BM102" s="226"/>
      <c r="BN102" s="227"/>
      <c r="BO102" s="227"/>
      <c r="BP102" s="227"/>
      <c r="BQ102" s="130"/>
      <c r="BR102" s="194"/>
      <c r="BS102" s="194"/>
      <c r="BT102" s="194"/>
      <c r="BU102" s="194"/>
      <c r="BV102" s="19"/>
      <c r="BW102" s="51" t="s">
        <v>130</v>
      </c>
      <c r="BX102" s="51"/>
      <c r="BY102" s="158" t="s">
        <v>246</v>
      </c>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5" t="s">
        <v>91</v>
      </c>
      <c r="DF102" s="155"/>
      <c r="DG102" s="43"/>
      <c r="DH102" s="45"/>
      <c r="DI102" s="165"/>
      <c r="DJ102" s="165"/>
      <c r="DK102" s="165"/>
      <c r="DL102" s="165"/>
      <c r="DM102" s="165"/>
      <c r="DN102" s="165"/>
      <c r="DO102" s="165"/>
      <c r="DP102" s="165"/>
      <c r="DQ102" s="165"/>
      <c r="DR102" s="203"/>
      <c r="DS102" s="203"/>
      <c r="DT102" s="203"/>
      <c r="DU102" s="179"/>
      <c r="DV102" s="179"/>
      <c r="DW102" s="179"/>
      <c r="DX102" s="179"/>
      <c r="DY102" s="179"/>
      <c r="DZ102" s="179"/>
      <c r="EA102" s="179"/>
      <c r="EB102" s="131"/>
      <c r="EC102" s="131"/>
      <c r="ED102" s="131"/>
      <c r="EE102" s="132"/>
      <c r="EF102" s="132"/>
      <c r="EG102" s="132"/>
      <c r="EH102" s="132"/>
      <c r="EI102" s="179"/>
      <c r="EJ102" s="223"/>
      <c r="EK102" s="223"/>
      <c r="EL102" s="223"/>
      <c r="EM102" s="223"/>
      <c r="EN102" s="164"/>
      <c r="EO102" s="164"/>
      <c r="EP102" s="19"/>
      <c r="EQ102" s="43"/>
      <c r="ER102" s="19"/>
      <c r="ES102" s="200"/>
      <c r="ET102" s="200"/>
      <c r="EU102" s="200"/>
      <c r="EV102" s="200"/>
      <c r="EW102" s="200"/>
      <c r="EX102" s="180"/>
      <c r="EY102" s="200"/>
      <c r="EZ102" s="200"/>
      <c r="FA102" s="200"/>
      <c r="FB102" s="200"/>
      <c r="FC102" s="200"/>
      <c r="FD102" s="200"/>
      <c r="FE102" s="200"/>
      <c r="FF102" s="200"/>
      <c r="FG102" s="200"/>
      <c r="FH102" s="200"/>
      <c r="FI102" s="200"/>
      <c r="FJ102" s="200"/>
      <c r="FK102" s="200"/>
      <c r="FL102" s="200"/>
      <c r="FM102" s="200"/>
      <c r="FN102" s="200"/>
      <c r="FO102" s="200"/>
      <c r="FP102" s="200"/>
      <c r="FQ102" s="200"/>
      <c r="FR102" s="200"/>
      <c r="FS102" s="200"/>
      <c r="FT102" s="200"/>
      <c r="FU102" s="64"/>
      <c r="FV102" s="201"/>
      <c r="FW102" s="201"/>
      <c r="FX102" s="201"/>
      <c r="FY102" s="201"/>
      <c r="FZ102" s="201"/>
      <c r="GA102" s="19"/>
      <c r="GB102" s="45"/>
    </row>
    <row r="103" spans="1:184" ht="7.5" customHeight="1" thickBot="1">
      <c r="A103" s="43"/>
      <c r="B103" s="19"/>
      <c r="C103" s="19"/>
      <c r="D103" s="19"/>
      <c r="E103" s="19"/>
      <c r="F103" s="19"/>
      <c r="G103" s="19"/>
      <c r="H103" s="19"/>
      <c r="I103" s="19"/>
      <c r="J103" s="20"/>
      <c r="K103" s="19"/>
      <c r="L103" s="19"/>
      <c r="M103" s="19"/>
      <c r="N103" s="19"/>
      <c r="O103" s="19"/>
      <c r="P103" s="79"/>
      <c r="Q103" s="79"/>
      <c r="R103" s="79"/>
      <c r="S103" s="79"/>
      <c r="T103" s="79"/>
      <c r="U103" s="85"/>
      <c r="V103" s="79"/>
      <c r="W103" s="79"/>
      <c r="X103" s="80"/>
      <c r="Y103" s="80"/>
      <c r="Z103" s="80"/>
      <c r="AA103" s="80"/>
      <c r="AB103" s="74"/>
      <c r="AC103" s="81"/>
      <c r="AD103" s="81"/>
      <c r="AE103" s="81"/>
      <c r="AF103" s="81"/>
      <c r="AG103" s="74"/>
      <c r="AH103" s="66"/>
      <c r="AI103" s="66"/>
      <c r="AJ103" s="66"/>
      <c r="AK103" s="66"/>
      <c r="AL103" s="74"/>
      <c r="AM103" s="19"/>
      <c r="AN103" s="19"/>
      <c r="AO103" s="19"/>
      <c r="AP103" s="19"/>
      <c r="AQ103" s="19"/>
      <c r="AR103" s="19"/>
      <c r="AS103" s="19"/>
      <c r="AT103" s="19"/>
      <c r="AU103" s="19"/>
      <c r="AV103" s="19"/>
      <c r="AW103" s="19"/>
      <c r="AX103" s="19"/>
      <c r="AY103" s="74"/>
      <c r="AZ103" s="79"/>
      <c r="BA103" s="79"/>
      <c r="BB103" s="79"/>
      <c r="BC103" s="74"/>
      <c r="BD103" s="20"/>
      <c r="BE103" s="20"/>
      <c r="BF103" s="20"/>
      <c r="BG103" s="74"/>
      <c r="BH103" s="82"/>
      <c r="BI103" s="82"/>
      <c r="BJ103" s="82"/>
      <c r="BK103" s="82"/>
      <c r="BL103" s="83"/>
      <c r="BM103" s="84"/>
      <c r="BN103" s="84"/>
      <c r="BO103" s="84"/>
      <c r="BP103" s="84"/>
      <c r="BQ103" s="74"/>
      <c r="BR103" s="66"/>
      <c r="BS103" s="66"/>
      <c r="BT103" s="66"/>
      <c r="BU103" s="66"/>
      <c r="BV103" s="19"/>
      <c r="BW103" s="51"/>
      <c r="BX103" s="51"/>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5"/>
      <c r="DF103" s="155"/>
      <c r="DG103" s="43"/>
      <c r="DH103" s="43"/>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43"/>
      <c r="ER103" s="19"/>
      <c r="ES103" s="200"/>
      <c r="ET103" s="200"/>
      <c r="EU103" s="200"/>
      <c r="EV103" s="200"/>
      <c r="EW103" s="200"/>
      <c r="EX103" s="180"/>
      <c r="EY103" s="200"/>
      <c r="EZ103" s="200"/>
      <c r="FA103" s="200"/>
      <c r="FB103" s="200"/>
      <c r="FC103" s="200"/>
      <c r="FD103" s="200"/>
      <c r="FE103" s="200"/>
      <c r="FF103" s="200"/>
      <c r="FG103" s="200"/>
      <c r="FH103" s="200"/>
      <c r="FI103" s="200"/>
      <c r="FJ103" s="200"/>
      <c r="FK103" s="200"/>
      <c r="FL103" s="200"/>
      <c r="FM103" s="200"/>
      <c r="FN103" s="200"/>
      <c r="FO103" s="200"/>
      <c r="FP103" s="200"/>
      <c r="FQ103" s="200"/>
      <c r="FR103" s="200"/>
      <c r="FS103" s="200"/>
      <c r="FT103" s="200"/>
      <c r="FU103" s="64"/>
      <c r="FV103" s="201"/>
      <c r="FW103" s="201"/>
      <c r="FX103" s="201"/>
      <c r="FY103" s="201"/>
      <c r="FZ103" s="201"/>
      <c r="GA103" s="19"/>
      <c r="GB103" s="45"/>
    </row>
    <row r="104" spans="1:184" ht="7.5" customHeight="1">
      <c r="A104" s="43"/>
      <c r="B104" s="19"/>
      <c r="C104" s="139" t="s">
        <v>392</v>
      </c>
      <c r="D104" s="140"/>
      <c r="E104" s="140"/>
      <c r="F104" s="140"/>
      <c r="G104" s="140"/>
      <c r="H104" s="140"/>
      <c r="I104" s="140"/>
      <c r="J104" s="140"/>
      <c r="K104" s="137"/>
      <c r="L104" s="137"/>
      <c r="M104" s="137"/>
      <c r="N104" s="137"/>
      <c r="O104" s="19"/>
      <c r="P104" s="251">
        <v>11</v>
      </c>
      <c r="Q104" s="252"/>
      <c r="R104" s="252"/>
      <c r="S104" s="79"/>
      <c r="T104" s="260">
        <v>10</v>
      </c>
      <c r="U104" s="261"/>
      <c r="V104" s="261"/>
      <c r="W104" s="79"/>
      <c r="X104" s="251">
        <v>35.4369</v>
      </c>
      <c r="Y104" s="252"/>
      <c r="Z104" s="252"/>
      <c r="AA104" s="252"/>
      <c r="AB104" s="130">
        <f>IF(OR(OR(M104="DH",M104="DR"),AND(ISNUMBER(T104),T104=0)),(1-EXP(1)^(-0.04*0.001))/4.15,IF(T104&gt;0,(1-EXP(1)^(-0.04*T104))/4.15,IF(T104="","")))</f>
        <v>0.07944095276249655</v>
      </c>
      <c r="AC104" s="162">
        <f>IF(ISNUMBER(X104),X104*0.03527396194958,"")</f>
        <v>1.2499998622110715</v>
      </c>
      <c r="AD104" s="162"/>
      <c r="AE104" s="162"/>
      <c r="AF104" s="162"/>
      <c r="AG104" s="130">
        <f>IF(OR($BG$86&gt;0,$BP$89&gt;0),IF(AND(P104&gt;0,X104&gt;0,$BG$86&gt;0),(P104/100*X104*1000)/$BG$86,IF(AND(P104&gt;0,X104&gt;0,ISNUMBER($CQ$45)),(P104/100*X104*1000)/$CQ$45,"")))</f>
        <v>147.10877884201707</v>
      </c>
      <c r="AH104" s="194">
        <f>IF(AND(ISNUMBER(AL104),$BG$86&gt;0),AL104,"")</f>
        <v>12.259455307153138</v>
      </c>
      <c r="AI104" s="194"/>
      <c r="AJ104" s="194"/>
      <c r="AK104" s="194"/>
      <c r="AL104" s="130">
        <f>IF(AND(ISNUMBER($F$122),ISNUMBER(AB104),ISNUMBER(AG104)),$F$122*AB104*AG104*IF(K104="FL",1,IF(K104="PL",1.02,1.1)),"")</f>
        <v>12.259455307153138</v>
      </c>
      <c r="AM104" s="137"/>
      <c r="AN104" s="137"/>
      <c r="AO104" s="137"/>
      <c r="AP104" s="137"/>
      <c r="AQ104" s="137"/>
      <c r="AR104" s="137"/>
      <c r="AS104" s="137"/>
      <c r="AT104" s="137"/>
      <c r="AU104" s="137"/>
      <c r="AV104" s="137"/>
      <c r="AW104" s="137"/>
      <c r="AX104" s="137"/>
      <c r="AY104" s="130" t="str">
        <f>IF(C104&gt;0,IF(AM104&gt;0,AM104,C104),"")</f>
        <v>Citra</v>
      </c>
      <c r="AZ104" s="216"/>
      <c r="BA104" s="216"/>
      <c r="BB104" s="216"/>
      <c r="BC104" s="130">
        <f>IF(P104&gt;0,IF(AZ104&gt;0,AZ104,P104),"")</f>
        <v>11</v>
      </c>
      <c r="BD104" s="159"/>
      <c r="BE104" s="159"/>
      <c r="BF104" s="159"/>
      <c r="BG104" s="280">
        <f>IF(BQ104="FL",1,IF(BQ104="PL",1.02,IF(BQ104="PE",1.1,1)))</f>
        <v>1.1</v>
      </c>
      <c r="BH104" s="217">
        <f>IF(AND(ISNUMBER($CQ$45),ISNUMBER($AP$122),ISNUMBER(BL104),ISNUMBER(BR104),BC104&gt;0),((BR104*($CQ$45+$EA$79))/($AP$122*BL104))/BC104/10/BG104,"")</f>
        <v>26.150878640886184</v>
      </c>
      <c r="BI104" s="218"/>
      <c r="BJ104" s="218"/>
      <c r="BK104" s="218"/>
      <c r="BL104" s="279">
        <f>IF(OR(OR(AW104="DH",AW104="DR"),AND(ISNUMBER(BD104),BD104=0)),(1-EXP(1)^(-0.04*0.001))/4.15,IF(BD104&gt;0,(1-EXP(1)^(-0.04*BD104))/4.15,IF(BD104="",IF(T104=0,(1-EXP(1)^(-0.04*0.001))/4.15,(1-EXP(1)^(-0.04*T104))/4.15))))</f>
        <v>0.07944095276249655</v>
      </c>
      <c r="BM104" s="224">
        <f>IF(ISNUMBER(BH104),BH104*0.03527396194958,"")</f>
        <v>0.9224450981267035</v>
      </c>
      <c r="BN104" s="225"/>
      <c r="BO104" s="225"/>
      <c r="BP104" s="225"/>
      <c r="BQ104" s="130" t="str">
        <f>IF(AU104&gt;0,AU104,IF(OR(K104="FL",K104="PL"),K104,"PE"))</f>
        <v>PE</v>
      </c>
      <c r="BR104" s="194">
        <f>IF(AND(ISNUMBER(AL104),ISNUMBER($BR$122)),AL104*$BR$122/$AL$122,"")</f>
        <v>20.54894750371118</v>
      </c>
      <c r="BS104" s="194"/>
      <c r="BT104" s="194"/>
      <c r="BU104" s="194"/>
      <c r="BV104" s="19"/>
      <c r="BW104" s="77">
        <f>IF(BW94="T",IF(BW96="T",BW106,IF(BW98="T",BW108,IF(BW100="T",BW110))),"")</f>
      </c>
      <c r="BX104" s="77"/>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43"/>
      <c r="DH104" s="43"/>
      <c r="DI104" s="132" t="s">
        <v>218</v>
      </c>
      <c r="DJ104" s="132"/>
      <c r="DK104" s="132"/>
      <c r="DL104" s="132"/>
      <c r="DM104" s="132"/>
      <c r="DN104" s="132"/>
      <c r="DO104" s="132"/>
      <c r="DP104" s="132"/>
      <c r="DQ104" s="132"/>
      <c r="DR104" s="132"/>
      <c r="DS104" s="132"/>
      <c r="DT104" s="132"/>
      <c r="DU104" s="132"/>
      <c r="DV104" s="132"/>
      <c r="DW104" s="132"/>
      <c r="DX104" s="132"/>
      <c r="DY104" s="132"/>
      <c r="DZ104" s="132"/>
      <c r="EA104" s="132"/>
      <c r="EB104" s="222"/>
      <c r="EC104" s="222"/>
      <c r="ED104" s="222"/>
      <c r="EE104" s="132" t="s">
        <v>135</v>
      </c>
      <c r="EF104" s="132"/>
      <c r="EG104" s="132"/>
      <c r="EH104" s="132"/>
      <c r="EI104" s="144">
        <f>IF(ISNUMBER(EB104),EB104*0.119826427,"")</f>
      </c>
      <c r="EJ104" s="144"/>
      <c r="EK104" s="144"/>
      <c r="EL104" s="132" t="s">
        <v>326</v>
      </c>
      <c r="EM104" s="132"/>
      <c r="EN104" s="132"/>
      <c r="EO104" s="132"/>
      <c r="EP104" s="19"/>
      <c r="EQ104" s="43"/>
      <c r="ER104" s="67"/>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19"/>
      <c r="GB104" s="45"/>
    </row>
    <row r="105" spans="1:184" ht="7.5" customHeight="1">
      <c r="A105" s="43"/>
      <c r="B105" s="19"/>
      <c r="C105" s="141"/>
      <c r="D105" s="142"/>
      <c r="E105" s="142"/>
      <c r="F105" s="142"/>
      <c r="G105" s="142"/>
      <c r="H105" s="142"/>
      <c r="I105" s="142"/>
      <c r="J105" s="142"/>
      <c r="K105" s="137"/>
      <c r="L105" s="137"/>
      <c r="M105" s="137"/>
      <c r="N105" s="137"/>
      <c r="O105" s="19"/>
      <c r="P105" s="253"/>
      <c r="Q105" s="254"/>
      <c r="R105" s="254"/>
      <c r="S105" s="79"/>
      <c r="T105" s="262"/>
      <c r="U105" s="263"/>
      <c r="V105" s="263"/>
      <c r="W105" s="79"/>
      <c r="X105" s="253"/>
      <c r="Y105" s="254"/>
      <c r="Z105" s="254"/>
      <c r="AA105" s="254"/>
      <c r="AB105" s="130"/>
      <c r="AC105" s="162"/>
      <c r="AD105" s="162"/>
      <c r="AE105" s="162"/>
      <c r="AF105" s="162"/>
      <c r="AG105" s="130"/>
      <c r="AH105" s="194"/>
      <c r="AI105" s="194"/>
      <c r="AJ105" s="194"/>
      <c r="AK105" s="194"/>
      <c r="AL105" s="130"/>
      <c r="AM105" s="137"/>
      <c r="AN105" s="137"/>
      <c r="AO105" s="137"/>
      <c r="AP105" s="137"/>
      <c r="AQ105" s="137"/>
      <c r="AR105" s="137"/>
      <c r="AS105" s="137"/>
      <c r="AT105" s="137"/>
      <c r="AU105" s="137"/>
      <c r="AV105" s="137"/>
      <c r="AW105" s="137"/>
      <c r="AX105" s="137"/>
      <c r="AY105" s="130"/>
      <c r="AZ105" s="216"/>
      <c r="BA105" s="216"/>
      <c r="BB105" s="216"/>
      <c r="BC105" s="130"/>
      <c r="BD105" s="159"/>
      <c r="BE105" s="159"/>
      <c r="BF105" s="159"/>
      <c r="BG105" s="280"/>
      <c r="BH105" s="219"/>
      <c r="BI105" s="220"/>
      <c r="BJ105" s="220"/>
      <c r="BK105" s="220"/>
      <c r="BL105" s="279"/>
      <c r="BM105" s="226"/>
      <c r="BN105" s="227"/>
      <c r="BO105" s="227"/>
      <c r="BP105" s="227"/>
      <c r="BQ105" s="130"/>
      <c r="BR105" s="194"/>
      <c r="BS105" s="194"/>
      <c r="BT105" s="194"/>
      <c r="BU105" s="194"/>
      <c r="BV105" s="19"/>
      <c r="BW105" s="77"/>
      <c r="BX105" s="77"/>
      <c r="BY105" s="19"/>
      <c r="BZ105" s="165" t="s">
        <v>322</v>
      </c>
      <c r="CA105" s="165"/>
      <c r="CB105" s="165"/>
      <c r="CC105" s="165"/>
      <c r="CD105" s="165"/>
      <c r="CE105" s="165"/>
      <c r="CF105" s="165"/>
      <c r="CG105" s="165"/>
      <c r="CH105" s="165"/>
      <c r="CI105" s="165"/>
      <c r="CJ105" s="165"/>
      <c r="CK105" s="165"/>
      <c r="CL105" s="165"/>
      <c r="CM105" s="165"/>
      <c r="CN105" s="165"/>
      <c r="CO105" s="165"/>
      <c r="CP105" s="165"/>
      <c r="CQ105" s="222"/>
      <c r="CR105" s="222"/>
      <c r="CS105" s="222"/>
      <c r="CT105" s="222"/>
      <c r="CU105" s="132" t="s">
        <v>6</v>
      </c>
      <c r="CV105" s="132"/>
      <c r="CW105" s="132"/>
      <c r="CX105" s="132"/>
      <c r="CY105" s="179" t="s">
        <v>1</v>
      </c>
      <c r="CZ105" s="150">
        <f>IF(ISNUMBER(CQ105),CQ105*0.2641720523582,"")</f>
      </c>
      <c r="DA105" s="150"/>
      <c r="DB105" s="150"/>
      <c r="DC105" s="150"/>
      <c r="DD105" s="164" t="s">
        <v>7</v>
      </c>
      <c r="DE105" s="164"/>
      <c r="DF105" s="19"/>
      <c r="DG105" s="43"/>
      <c r="DH105" s="43"/>
      <c r="DI105" s="132"/>
      <c r="DJ105" s="132"/>
      <c r="DK105" s="132"/>
      <c r="DL105" s="132"/>
      <c r="DM105" s="132"/>
      <c r="DN105" s="132"/>
      <c r="DO105" s="132"/>
      <c r="DP105" s="132"/>
      <c r="DQ105" s="132"/>
      <c r="DR105" s="132"/>
      <c r="DS105" s="132"/>
      <c r="DT105" s="132"/>
      <c r="DU105" s="132"/>
      <c r="DV105" s="132"/>
      <c r="DW105" s="132"/>
      <c r="DX105" s="132"/>
      <c r="DY105" s="132"/>
      <c r="DZ105" s="132"/>
      <c r="EA105" s="132"/>
      <c r="EB105" s="222"/>
      <c r="EC105" s="222"/>
      <c r="ED105" s="222"/>
      <c r="EE105" s="132"/>
      <c r="EF105" s="132"/>
      <c r="EG105" s="132"/>
      <c r="EH105" s="132"/>
      <c r="EI105" s="144"/>
      <c r="EJ105" s="144"/>
      <c r="EK105" s="144"/>
      <c r="EL105" s="132"/>
      <c r="EM105" s="132"/>
      <c r="EN105" s="132"/>
      <c r="EO105" s="132"/>
      <c r="EP105" s="19"/>
      <c r="EQ105" s="43"/>
      <c r="ER105" s="19"/>
      <c r="ES105" s="200"/>
      <c r="ET105" s="200"/>
      <c r="EU105" s="200"/>
      <c r="EV105" s="200"/>
      <c r="EW105" s="200"/>
      <c r="EX105" s="180"/>
      <c r="EY105" s="200"/>
      <c r="EZ105" s="200"/>
      <c r="FA105" s="200"/>
      <c r="FB105" s="200"/>
      <c r="FC105" s="200"/>
      <c r="FD105" s="200"/>
      <c r="FE105" s="200"/>
      <c r="FF105" s="200"/>
      <c r="FG105" s="200"/>
      <c r="FH105" s="200"/>
      <c r="FI105" s="200"/>
      <c r="FJ105" s="200"/>
      <c r="FK105" s="200"/>
      <c r="FL105" s="200"/>
      <c r="FM105" s="200"/>
      <c r="FN105" s="200"/>
      <c r="FO105" s="200"/>
      <c r="FP105" s="200"/>
      <c r="FQ105" s="200"/>
      <c r="FR105" s="200"/>
      <c r="FS105" s="200"/>
      <c r="FT105" s="200"/>
      <c r="FU105" s="64"/>
      <c r="FV105" s="201"/>
      <c r="FW105" s="201"/>
      <c r="FX105" s="201"/>
      <c r="FY105" s="201"/>
      <c r="FZ105" s="201"/>
      <c r="GA105" s="19"/>
      <c r="GB105" s="45"/>
    </row>
    <row r="106" spans="1:184" ht="7.5" customHeight="1" thickBot="1">
      <c r="A106" s="43"/>
      <c r="B106" s="19"/>
      <c r="C106" s="19"/>
      <c r="D106" s="19"/>
      <c r="E106" s="19"/>
      <c r="F106" s="19"/>
      <c r="G106" s="19"/>
      <c r="H106" s="19"/>
      <c r="I106" s="19"/>
      <c r="J106" s="19"/>
      <c r="K106" s="19"/>
      <c r="L106" s="19"/>
      <c r="M106" s="19"/>
      <c r="N106" s="19"/>
      <c r="O106" s="19"/>
      <c r="P106" s="79"/>
      <c r="Q106" s="79"/>
      <c r="R106" s="79"/>
      <c r="S106" s="79"/>
      <c r="T106" s="79"/>
      <c r="U106" s="79"/>
      <c r="V106" s="79"/>
      <c r="W106" s="79"/>
      <c r="X106" s="80"/>
      <c r="Y106" s="80"/>
      <c r="Z106" s="80"/>
      <c r="AA106" s="80"/>
      <c r="AB106" s="74"/>
      <c r="AC106" s="81"/>
      <c r="AD106" s="81"/>
      <c r="AE106" s="81"/>
      <c r="AF106" s="81"/>
      <c r="AG106" s="74"/>
      <c r="AH106" s="66"/>
      <c r="AI106" s="66"/>
      <c r="AJ106" s="66"/>
      <c r="AK106" s="66"/>
      <c r="AL106" s="74"/>
      <c r="AM106" s="19"/>
      <c r="AN106" s="19"/>
      <c r="AO106" s="19"/>
      <c r="AP106" s="19"/>
      <c r="AQ106" s="19"/>
      <c r="AR106" s="19"/>
      <c r="AS106" s="19"/>
      <c r="AT106" s="19"/>
      <c r="AU106" s="19"/>
      <c r="AV106" s="19"/>
      <c r="AW106" s="19"/>
      <c r="AX106" s="19"/>
      <c r="AY106" s="74"/>
      <c r="AZ106" s="79"/>
      <c r="BA106" s="79"/>
      <c r="BB106" s="79"/>
      <c r="BC106" s="74"/>
      <c r="BD106" s="20"/>
      <c r="BE106" s="20"/>
      <c r="BF106" s="20"/>
      <c r="BG106" s="74"/>
      <c r="BH106" s="82"/>
      <c r="BI106" s="82"/>
      <c r="BJ106" s="82"/>
      <c r="BK106" s="82"/>
      <c r="BL106" s="83"/>
      <c r="BM106" s="84"/>
      <c r="BN106" s="84"/>
      <c r="BO106" s="84"/>
      <c r="BP106" s="84"/>
      <c r="BQ106" s="74"/>
      <c r="BR106" s="66"/>
      <c r="BS106" s="66"/>
      <c r="BT106" s="66"/>
      <c r="BU106" s="66"/>
      <c r="BV106" s="19"/>
      <c r="BW106" s="77">
        <f>IF(BW96="T",BW108*CQ45/DG85,"")</f>
      </c>
      <c r="BX106" s="77"/>
      <c r="BY106" s="19"/>
      <c r="BZ106" s="165"/>
      <c r="CA106" s="165"/>
      <c r="CB106" s="165"/>
      <c r="CC106" s="165"/>
      <c r="CD106" s="165"/>
      <c r="CE106" s="165"/>
      <c r="CF106" s="165"/>
      <c r="CG106" s="165"/>
      <c r="CH106" s="165"/>
      <c r="CI106" s="165"/>
      <c r="CJ106" s="165"/>
      <c r="CK106" s="165"/>
      <c r="CL106" s="165"/>
      <c r="CM106" s="165"/>
      <c r="CN106" s="165"/>
      <c r="CO106" s="165"/>
      <c r="CP106" s="165"/>
      <c r="CQ106" s="222"/>
      <c r="CR106" s="222"/>
      <c r="CS106" s="222"/>
      <c r="CT106" s="222"/>
      <c r="CU106" s="132"/>
      <c r="CV106" s="132"/>
      <c r="CW106" s="132"/>
      <c r="CX106" s="132"/>
      <c r="CY106" s="179"/>
      <c r="CZ106" s="150"/>
      <c r="DA106" s="150"/>
      <c r="DB106" s="150"/>
      <c r="DC106" s="150"/>
      <c r="DD106" s="164"/>
      <c r="DE106" s="164"/>
      <c r="DF106" s="19"/>
      <c r="DG106" s="43"/>
      <c r="DH106" s="43"/>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43"/>
      <c r="ER106" s="19"/>
      <c r="ES106" s="200"/>
      <c r="ET106" s="200"/>
      <c r="EU106" s="200"/>
      <c r="EV106" s="200"/>
      <c r="EW106" s="200"/>
      <c r="EX106" s="180"/>
      <c r="EY106" s="200"/>
      <c r="EZ106" s="200"/>
      <c r="FA106" s="200"/>
      <c r="FB106" s="200"/>
      <c r="FC106" s="200"/>
      <c r="FD106" s="200"/>
      <c r="FE106" s="200"/>
      <c r="FF106" s="200"/>
      <c r="FG106" s="200"/>
      <c r="FH106" s="200"/>
      <c r="FI106" s="200"/>
      <c r="FJ106" s="200"/>
      <c r="FK106" s="200"/>
      <c r="FL106" s="200"/>
      <c r="FM106" s="200"/>
      <c r="FN106" s="200"/>
      <c r="FO106" s="200"/>
      <c r="FP106" s="200"/>
      <c r="FQ106" s="200"/>
      <c r="FR106" s="200"/>
      <c r="FS106" s="200"/>
      <c r="FT106" s="200"/>
      <c r="FU106" s="64"/>
      <c r="FV106" s="201"/>
      <c r="FW106" s="201"/>
      <c r="FX106" s="201"/>
      <c r="FY106" s="201"/>
      <c r="FZ106" s="201"/>
      <c r="GA106" s="19"/>
      <c r="GB106" s="45"/>
    </row>
    <row r="107" spans="1:184" ht="7.5" customHeight="1">
      <c r="A107" s="43"/>
      <c r="B107" s="19"/>
      <c r="C107" s="139" t="s">
        <v>392</v>
      </c>
      <c r="D107" s="140"/>
      <c r="E107" s="140"/>
      <c r="F107" s="140"/>
      <c r="G107" s="140"/>
      <c r="H107" s="140"/>
      <c r="I107" s="140"/>
      <c r="J107" s="140"/>
      <c r="K107" s="137"/>
      <c r="L107" s="137"/>
      <c r="M107" s="137"/>
      <c r="N107" s="137"/>
      <c r="O107" s="19"/>
      <c r="P107" s="251">
        <v>11</v>
      </c>
      <c r="Q107" s="252"/>
      <c r="R107" s="252"/>
      <c r="S107" s="79"/>
      <c r="T107" s="260">
        <v>5</v>
      </c>
      <c r="U107" s="261"/>
      <c r="V107" s="261"/>
      <c r="W107" s="79"/>
      <c r="X107" s="251">
        <v>35.4369</v>
      </c>
      <c r="Y107" s="252"/>
      <c r="Z107" s="252"/>
      <c r="AA107" s="252"/>
      <c r="AB107" s="130">
        <f>IF(OR(OR(M107="DH",M107="DR"),AND(ISNUMBER(T107),T107=0)),(1-EXP(1)^(-0.04*0.001))/4.15,IF(T107&gt;0,(1-EXP(1)^(-0.04*T107))/4.15,IF(T107="","")))</f>
        <v>0.04367933660771522</v>
      </c>
      <c r="AC107" s="162">
        <f>IF(ISNUMBER(X107),X107*0.03527396194958,"")</f>
        <v>1.2499998622110715</v>
      </c>
      <c r="AD107" s="162"/>
      <c r="AE107" s="162"/>
      <c r="AF107" s="162"/>
      <c r="AG107" s="130">
        <f>IF(OR($BG$86&gt;0,$BP$89&gt;0),IF(AND(P107&gt;0,X107&gt;0,$BG$86&gt;0),(P107/100*X107*1000)/$BG$86,IF(AND(P107&gt;0,X107&gt;0,ISNUMBER($CQ$45)),(P107/100*X107*1000)/$CQ$45,"")))</f>
        <v>147.10877884201707</v>
      </c>
      <c r="AH107" s="194">
        <f>IF(AND(ISNUMBER(AL107),$BG$86&gt;0),AL107,"")</f>
        <v>6.740665316405683</v>
      </c>
      <c r="AI107" s="194"/>
      <c r="AJ107" s="194"/>
      <c r="AK107" s="194"/>
      <c r="AL107" s="130">
        <f>IF(AND(ISNUMBER($F$122),ISNUMBER(AB107),ISNUMBER(AG107)),$F$122*AB107*AG107*IF(K107="FL",1,IF(K107="PL",1.02,1.1)),"")</f>
        <v>6.740665316405683</v>
      </c>
      <c r="AM107" s="137"/>
      <c r="AN107" s="137"/>
      <c r="AO107" s="137"/>
      <c r="AP107" s="137"/>
      <c r="AQ107" s="137"/>
      <c r="AR107" s="137"/>
      <c r="AS107" s="137"/>
      <c r="AT107" s="137"/>
      <c r="AU107" s="137"/>
      <c r="AV107" s="137"/>
      <c r="AW107" s="137"/>
      <c r="AX107" s="137"/>
      <c r="AY107" s="130" t="str">
        <f>IF(C107&gt;0,IF(AM107&gt;0,AM107,C107),"")</f>
        <v>Citra</v>
      </c>
      <c r="AZ107" s="216"/>
      <c r="BA107" s="216"/>
      <c r="BB107" s="216"/>
      <c r="BC107" s="130">
        <f>IF(P107&gt;0,IF(AZ107&gt;0,AZ107,P107),"")</f>
        <v>11</v>
      </c>
      <c r="BD107" s="159"/>
      <c r="BE107" s="159"/>
      <c r="BF107" s="159"/>
      <c r="BG107" s="280">
        <f>IF(BQ107="FL",1,IF(BQ107="PL",1.02,IF(BQ107="PE",1.1,1)))</f>
        <v>1.1</v>
      </c>
      <c r="BH107" s="217">
        <f>IF(AND(ISNUMBER($CQ$45),ISNUMBER($AP$122),ISNUMBER(BL107),ISNUMBER(BR107),BC107&gt;0),((BR107*($CQ$45+$EA$79))/($AP$122*BL107))/BC107/10/BG107,"")</f>
        <v>26.15087864088618</v>
      </c>
      <c r="BI107" s="218"/>
      <c r="BJ107" s="218"/>
      <c r="BK107" s="218"/>
      <c r="BL107" s="279">
        <f>IF(OR(OR(AW107="DH",AW107="DR"),AND(ISNUMBER(BD107),BD107=0)),(1-EXP(1)^(-0.04*0.001))/4.15,IF(BD107&gt;0,(1-EXP(1)^(-0.04*BD107))/4.15,IF(BD107="",IF(T107=0,(1-EXP(1)^(-0.04*0.001))/4.15,(1-EXP(1)^(-0.04*T107))/4.15))))</f>
        <v>0.04367933660771522</v>
      </c>
      <c r="BM107" s="224">
        <f>IF(ISNUMBER(BH107),BH107*0.03527396194958,"")</f>
        <v>0.9224450981267034</v>
      </c>
      <c r="BN107" s="225"/>
      <c r="BO107" s="225"/>
      <c r="BP107" s="225"/>
      <c r="BQ107" s="130" t="str">
        <f>IF(AU107&gt;0,AU107,IF(OR(K107="FL",K107="PL"),K107,"PE"))</f>
        <v>PE</v>
      </c>
      <c r="BR107" s="194">
        <f>IF(AND(ISNUMBER(AL107),ISNUMBER($BR$122)),AL107*$BR$122/$AL$122,"")</f>
        <v>11.298509946529785</v>
      </c>
      <c r="BS107" s="194"/>
      <c r="BT107" s="194"/>
      <c r="BU107" s="194"/>
      <c r="BV107" s="19"/>
      <c r="BW107" s="77"/>
      <c r="BX107" s="77"/>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43"/>
      <c r="DH107" s="43"/>
      <c r="DI107" s="165" t="s">
        <v>219</v>
      </c>
      <c r="DJ107" s="165"/>
      <c r="DK107" s="165"/>
      <c r="DL107" s="165"/>
      <c r="DM107" s="165"/>
      <c r="DN107" s="165"/>
      <c r="DO107" s="165"/>
      <c r="DP107" s="165"/>
      <c r="DQ107" s="165"/>
      <c r="DR107" s="165"/>
      <c r="DS107" s="165"/>
      <c r="DT107" s="165"/>
      <c r="DU107" s="165"/>
      <c r="DV107" s="165"/>
      <c r="DW107" s="165"/>
      <c r="DX107" s="165"/>
      <c r="DY107" s="165"/>
      <c r="DZ107" s="165"/>
      <c r="EA107" s="165"/>
      <c r="EB107" s="222"/>
      <c r="EC107" s="222"/>
      <c r="ED107" s="222"/>
      <c r="EE107" s="132" t="s">
        <v>6</v>
      </c>
      <c r="EF107" s="132"/>
      <c r="EG107" s="132"/>
      <c r="EH107" s="132"/>
      <c r="EI107" s="179" t="s">
        <v>1</v>
      </c>
      <c r="EJ107" s="144">
        <f>IF(ISNUMBER(EB107),EB107*0.2641720523582,"")</f>
      </c>
      <c r="EK107" s="144"/>
      <c r="EL107" s="144"/>
      <c r="EM107" s="144"/>
      <c r="EN107" s="164" t="s">
        <v>7</v>
      </c>
      <c r="EO107" s="164"/>
      <c r="EP107" s="19"/>
      <c r="EQ107" s="43"/>
      <c r="ER107" s="67"/>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19"/>
      <c r="GB107" s="45"/>
    </row>
    <row r="108" spans="1:184" ht="7.5" customHeight="1">
      <c r="A108" s="43"/>
      <c r="B108" s="19"/>
      <c r="C108" s="141"/>
      <c r="D108" s="142"/>
      <c r="E108" s="142"/>
      <c r="F108" s="142"/>
      <c r="G108" s="142"/>
      <c r="H108" s="142"/>
      <c r="I108" s="142"/>
      <c r="J108" s="142"/>
      <c r="K108" s="137"/>
      <c r="L108" s="137"/>
      <c r="M108" s="137"/>
      <c r="N108" s="137"/>
      <c r="O108" s="19"/>
      <c r="P108" s="253"/>
      <c r="Q108" s="254"/>
      <c r="R108" s="254"/>
      <c r="S108" s="79"/>
      <c r="T108" s="262"/>
      <c r="U108" s="263"/>
      <c r="V108" s="263"/>
      <c r="W108" s="79"/>
      <c r="X108" s="253"/>
      <c r="Y108" s="254"/>
      <c r="Z108" s="254"/>
      <c r="AA108" s="254"/>
      <c r="AB108" s="130"/>
      <c r="AC108" s="162"/>
      <c r="AD108" s="162"/>
      <c r="AE108" s="162"/>
      <c r="AF108" s="162"/>
      <c r="AG108" s="130"/>
      <c r="AH108" s="194"/>
      <c r="AI108" s="194"/>
      <c r="AJ108" s="194"/>
      <c r="AK108" s="194"/>
      <c r="AL108" s="130"/>
      <c r="AM108" s="137"/>
      <c r="AN108" s="137"/>
      <c r="AO108" s="137"/>
      <c r="AP108" s="137"/>
      <c r="AQ108" s="137"/>
      <c r="AR108" s="137"/>
      <c r="AS108" s="137"/>
      <c r="AT108" s="137"/>
      <c r="AU108" s="137"/>
      <c r="AV108" s="137"/>
      <c r="AW108" s="137"/>
      <c r="AX108" s="137"/>
      <c r="AY108" s="130"/>
      <c r="AZ108" s="216"/>
      <c r="BA108" s="216"/>
      <c r="BB108" s="216"/>
      <c r="BC108" s="130"/>
      <c r="BD108" s="159"/>
      <c r="BE108" s="159"/>
      <c r="BF108" s="159"/>
      <c r="BG108" s="280"/>
      <c r="BH108" s="219"/>
      <c r="BI108" s="220"/>
      <c r="BJ108" s="220"/>
      <c r="BK108" s="220"/>
      <c r="BL108" s="279"/>
      <c r="BM108" s="226"/>
      <c r="BN108" s="227"/>
      <c r="BO108" s="227"/>
      <c r="BP108" s="227"/>
      <c r="BQ108" s="130"/>
      <c r="BR108" s="194"/>
      <c r="BS108" s="194"/>
      <c r="BT108" s="194"/>
      <c r="BU108" s="194"/>
      <c r="BV108" s="19"/>
      <c r="BW108" s="86">
        <f>IF(BW98="T",BR122/(F122/BW90),"")</f>
      </c>
      <c r="BX108" s="86"/>
      <c r="BY108" s="165" t="s">
        <v>105</v>
      </c>
      <c r="BZ108" s="165"/>
      <c r="CA108" s="165"/>
      <c r="CB108" s="165"/>
      <c r="CC108" s="165"/>
      <c r="CD108" s="165"/>
      <c r="CE108" s="165"/>
      <c r="CF108" s="165"/>
      <c r="CG108" s="165"/>
      <c r="CH108" s="165"/>
      <c r="CI108" s="165"/>
      <c r="CJ108" s="165"/>
      <c r="CK108" s="165"/>
      <c r="CL108" s="165"/>
      <c r="CM108" s="165"/>
      <c r="CN108" s="165"/>
      <c r="CO108" s="165"/>
      <c r="CP108" s="165"/>
      <c r="CQ108" s="222"/>
      <c r="CR108" s="222"/>
      <c r="CS108" s="222"/>
      <c r="CT108" s="222"/>
      <c r="CU108" s="132" t="s">
        <v>6</v>
      </c>
      <c r="CV108" s="132"/>
      <c r="CW108" s="132"/>
      <c r="CX108" s="132"/>
      <c r="CY108" s="179" t="s">
        <v>1</v>
      </c>
      <c r="CZ108" s="150">
        <f>IF(ISNUMBER(CQ108),CQ108*0.2641720523582,"")</f>
      </c>
      <c r="DA108" s="150"/>
      <c r="DB108" s="150"/>
      <c r="DC108" s="150"/>
      <c r="DD108" s="164" t="s">
        <v>7</v>
      </c>
      <c r="DE108" s="164"/>
      <c r="DF108" s="19"/>
      <c r="DG108" s="43"/>
      <c r="DH108" s="43"/>
      <c r="DI108" s="165"/>
      <c r="DJ108" s="165"/>
      <c r="DK108" s="165"/>
      <c r="DL108" s="165"/>
      <c r="DM108" s="165"/>
      <c r="DN108" s="165"/>
      <c r="DO108" s="165"/>
      <c r="DP108" s="165"/>
      <c r="DQ108" s="165"/>
      <c r="DR108" s="165"/>
      <c r="DS108" s="165"/>
      <c r="DT108" s="165"/>
      <c r="DU108" s="165"/>
      <c r="DV108" s="165"/>
      <c r="DW108" s="165"/>
      <c r="DX108" s="165"/>
      <c r="DY108" s="165"/>
      <c r="DZ108" s="165"/>
      <c r="EA108" s="165"/>
      <c r="EB108" s="222"/>
      <c r="EC108" s="222"/>
      <c r="ED108" s="222"/>
      <c r="EE108" s="132"/>
      <c r="EF108" s="132"/>
      <c r="EG108" s="132"/>
      <c r="EH108" s="132"/>
      <c r="EI108" s="179"/>
      <c r="EJ108" s="144"/>
      <c r="EK108" s="144"/>
      <c r="EL108" s="144"/>
      <c r="EM108" s="144"/>
      <c r="EN108" s="164"/>
      <c r="EO108" s="164"/>
      <c r="EP108" s="19"/>
      <c r="EQ108" s="43"/>
      <c r="ER108" s="19"/>
      <c r="ES108" s="200"/>
      <c r="ET108" s="200"/>
      <c r="EU108" s="200"/>
      <c r="EV108" s="200"/>
      <c r="EW108" s="200"/>
      <c r="EX108" s="180"/>
      <c r="EY108" s="200"/>
      <c r="EZ108" s="200"/>
      <c r="FA108" s="200"/>
      <c r="FB108" s="200"/>
      <c r="FC108" s="200"/>
      <c r="FD108" s="200"/>
      <c r="FE108" s="200"/>
      <c r="FF108" s="200"/>
      <c r="FG108" s="200"/>
      <c r="FH108" s="200"/>
      <c r="FI108" s="200"/>
      <c r="FJ108" s="200"/>
      <c r="FK108" s="200"/>
      <c r="FL108" s="200"/>
      <c r="FM108" s="200"/>
      <c r="FN108" s="200"/>
      <c r="FO108" s="200"/>
      <c r="FP108" s="200"/>
      <c r="FQ108" s="200"/>
      <c r="FR108" s="200"/>
      <c r="FS108" s="200"/>
      <c r="FT108" s="200"/>
      <c r="FU108" s="64"/>
      <c r="FV108" s="201"/>
      <c r="FW108" s="201"/>
      <c r="FX108" s="201"/>
      <c r="FY108" s="201"/>
      <c r="FZ108" s="201"/>
      <c r="GA108" s="19"/>
      <c r="GB108" s="45"/>
    </row>
    <row r="109" spans="1:184" ht="7.5" customHeight="1" thickBot="1">
      <c r="A109" s="43"/>
      <c r="B109" s="19"/>
      <c r="C109" s="19"/>
      <c r="D109" s="19"/>
      <c r="E109" s="19"/>
      <c r="F109" s="19"/>
      <c r="G109" s="19"/>
      <c r="H109" s="19"/>
      <c r="I109" s="19"/>
      <c r="J109" s="19"/>
      <c r="K109" s="19"/>
      <c r="L109" s="19"/>
      <c r="M109" s="19"/>
      <c r="N109" s="19"/>
      <c r="O109" s="19"/>
      <c r="P109" s="79"/>
      <c r="Q109" s="79"/>
      <c r="R109" s="79"/>
      <c r="S109" s="79"/>
      <c r="T109" s="79"/>
      <c r="U109" s="79"/>
      <c r="V109" s="79"/>
      <c r="W109" s="79"/>
      <c r="X109" s="80"/>
      <c r="Y109" s="80"/>
      <c r="Z109" s="80"/>
      <c r="AA109" s="80"/>
      <c r="AB109" s="74"/>
      <c r="AC109" s="81"/>
      <c r="AD109" s="81"/>
      <c r="AE109" s="81"/>
      <c r="AF109" s="81"/>
      <c r="AG109" s="74"/>
      <c r="AH109" s="66"/>
      <c r="AI109" s="66"/>
      <c r="AJ109" s="66"/>
      <c r="AK109" s="66"/>
      <c r="AL109" s="74"/>
      <c r="AM109" s="19"/>
      <c r="AN109" s="19"/>
      <c r="AO109" s="19"/>
      <c r="AP109" s="19"/>
      <c r="AQ109" s="19"/>
      <c r="AR109" s="19"/>
      <c r="AS109" s="19"/>
      <c r="AT109" s="19"/>
      <c r="AU109" s="19"/>
      <c r="AV109" s="19"/>
      <c r="AW109" s="19"/>
      <c r="AX109" s="19"/>
      <c r="AY109" s="74"/>
      <c r="AZ109" s="79"/>
      <c r="BA109" s="87"/>
      <c r="BB109" s="79"/>
      <c r="BC109" s="74"/>
      <c r="BD109" s="20"/>
      <c r="BE109" s="20"/>
      <c r="BF109" s="20"/>
      <c r="BG109" s="74"/>
      <c r="BH109" s="82"/>
      <c r="BI109" s="82"/>
      <c r="BJ109" s="82"/>
      <c r="BK109" s="82"/>
      <c r="BL109" s="83"/>
      <c r="BM109" s="84"/>
      <c r="BN109" s="84"/>
      <c r="BO109" s="84"/>
      <c r="BP109" s="84"/>
      <c r="BQ109" s="74"/>
      <c r="BR109" s="66"/>
      <c r="BS109" s="66"/>
      <c r="BT109" s="66"/>
      <c r="BU109" s="66"/>
      <c r="BV109" s="19"/>
      <c r="BW109" s="86"/>
      <c r="BX109" s="86"/>
      <c r="BY109" s="165"/>
      <c r="BZ109" s="165"/>
      <c r="CA109" s="165"/>
      <c r="CB109" s="165"/>
      <c r="CC109" s="165"/>
      <c r="CD109" s="165"/>
      <c r="CE109" s="165"/>
      <c r="CF109" s="165"/>
      <c r="CG109" s="165"/>
      <c r="CH109" s="165"/>
      <c r="CI109" s="165"/>
      <c r="CJ109" s="165"/>
      <c r="CK109" s="165"/>
      <c r="CL109" s="165"/>
      <c r="CM109" s="165"/>
      <c r="CN109" s="165"/>
      <c r="CO109" s="165"/>
      <c r="CP109" s="165"/>
      <c r="CQ109" s="222"/>
      <c r="CR109" s="222"/>
      <c r="CS109" s="222"/>
      <c r="CT109" s="222"/>
      <c r="CU109" s="132"/>
      <c r="CV109" s="132"/>
      <c r="CW109" s="132"/>
      <c r="CX109" s="132"/>
      <c r="CY109" s="179"/>
      <c r="CZ109" s="150"/>
      <c r="DA109" s="150"/>
      <c r="DB109" s="150"/>
      <c r="DC109" s="150"/>
      <c r="DD109" s="164"/>
      <c r="DE109" s="164"/>
      <c r="DF109" s="19"/>
      <c r="DG109" s="43"/>
      <c r="DH109" s="43"/>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43"/>
      <c r="ER109" s="19"/>
      <c r="ES109" s="200"/>
      <c r="ET109" s="200"/>
      <c r="EU109" s="200"/>
      <c r="EV109" s="200"/>
      <c r="EW109" s="200"/>
      <c r="EX109" s="180"/>
      <c r="EY109" s="200"/>
      <c r="EZ109" s="200"/>
      <c r="FA109" s="200"/>
      <c r="FB109" s="200"/>
      <c r="FC109" s="200"/>
      <c r="FD109" s="200"/>
      <c r="FE109" s="200"/>
      <c r="FF109" s="200"/>
      <c r="FG109" s="200"/>
      <c r="FH109" s="200"/>
      <c r="FI109" s="200"/>
      <c r="FJ109" s="200"/>
      <c r="FK109" s="200"/>
      <c r="FL109" s="200"/>
      <c r="FM109" s="200"/>
      <c r="FN109" s="200"/>
      <c r="FO109" s="200"/>
      <c r="FP109" s="200"/>
      <c r="FQ109" s="200"/>
      <c r="FR109" s="200"/>
      <c r="FS109" s="200"/>
      <c r="FT109" s="200"/>
      <c r="FU109" s="64"/>
      <c r="FV109" s="201"/>
      <c r="FW109" s="201"/>
      <c r="FX109" s="201"/>
      <c r="FY109" s="201"/>
      <c r="FZ109" s="201"/>
      <c r="GA109" s="19"/>
      <c r="GB109" s="45"/>
    </row>
    <row r="110" spans="1:184" ht="7.5" customHeight="1">
      <c r="A110" s="43"/>
      <c r="B110" s="19"/>
      <c r="C110" s="139" t="s">
        <v>392</v>
      </c>
      <c r="D110" s="140"/>
      <c r="E110" s="140"/>
      <c r="F110" s="140"/>
      <c r="G110" s="140"/>
      <c r="H110" s="140"/>
      <c r="I110" s="140"/>
      <c r="J110" s="140"/>
      <c r="K110" s="137"/>
      <c r="L110" s="137"/>
      <c r="M110" s="137"/>
      <c r="N110" s="137"/>
      <c r="O110" s="19"/>
      <c r="P110" s="251">
        <v>11</v>
      </c>
      <c r="Q110" s="252"/>
      <c r="R110" s="252"/>
      <c r="S110" s="79"/>
      <c r="T110" s="260">
        <v>1</v>
      </c>
      <c r="U110" s="261"/>
      <c r="V110" s="261"/>
      <c r="W110" s="79"/>
      <c r="X110" s="251">
        <v>35.4369</v>
      </c>
      <c r="Y110" s="252"/>
      <c r="Z110" s="252"/>
      <c r="AA110" s="252"/>
      <c r="AB110" s="130">
        <f>IF(OR(OR(M110="DH",M110="DR"),AND(ISNUMBER(T110),T110=0)),(1-EXP(1)^(-0.04*0.001))/4.15,IF(T110&gt;0,(1-EXP(1)^(-0.04*T110))/4.15,IF(T110="","")))</f>
        <v>0.009448327915102849</v>
      </c>
      <c r="AC110" s="162">
        <f>IF(ISNUMBER(X110),X110*0.03527396194958,"")</f>
        <v>1.2499998622110715</v>
      </c>
      <c r="AD110" s="162"/>
      <c r="AE110" s="162"/>
      <c r="AF110" s="162"/>
      <c r="AG110" s="130">
        <f>IF(OR($BG$86&gt;0,$BP$89&gt;0),IF(AND(P110&gt;0,X110&gt;0,$BG$86&gt;0),(P110/100*X110*1000)/$BG$86,IF(AND(P110&gt;0,X110&gt;0,ISNUMBER($CQ$45)),(P110/100*X110*1000)/$CQ$45,"")))</f>
        <v>147.10877884201707</v>
      </c>
      <c r="AH110" s="194">
        <f>IF(AND(ISNUMBER(AL110),$BG$86&gt;0),AL110,"")</f>
        <v>1.4580811253463948</v>
      </c>
      <c r="AI110" s="194"/>
      <c r="AJ110" s="194"/>
      <c r="AK110" s="194"/>
      <c r="AL110" s="130">
        <f>IF(AND(ISNUMBER($F$122),ISNUMBER(AB110),ISNUMBER(AG110)),$F$122*AB110*AG110*IF(K110="FL",1,IF(K110="PL",1.02,1.1)),"")</f>
        <v>1.4580811253463948</v>
      </c>
      <c r="AM110" s="137"/>
      <c r="AN110" s="137"/>
      <c r="AO110" s="137"/>
      <c r="AP110" s="137"/>
      <c r="AQ110" s="137"/>
      <c r="AR110" s="137"/>
      <c r="AS110" s="137"/>
      <c r="AT110" s="137"/>
      <c r="AU110" s="137"/>
      <c r="AV110" s="137"/>
      <c r="AW110" s="137"/>
      <c r="AX110" s="137"/>
      <c r="AY110" s="130" t="str">
        <f>IF(C110&gt;0,IF(AM110&gt;0,AM110,C110),"")</f>
        <v>Citra</v>
      </c>
      <c r="AZ110" s="216"/>
      <c r="BA110" s="216"/>
      <c r="BB110" s="216"/>
      <c r="BC110" s="130">
        <f>IF(P110&gt;0,IF(AZ110&gt;0,AZ110,P110),"")</f>
        <v>11</v>
      </c>
      <c r="BD110" s="159"/>
      <c r="BE110" s="159"/>
      <c r="BF110" s="159"/>
      <c r="BG110" s="280">
        <f>IF(BQ110="FL",1,IF(BQ110="PL",1.02,IF(BQ110="PE",1.1,1)))</f>
        <v>1.1</v>
      </c>
      <c r="BH110" s="217">
        <f>IF(AND(ISNUMBER($CQ$45),ISNUMBER($AP$122),ISNUMBER(BL110),ISNUMBER(BR110),BC110&gt;0),((BR110*($CQ$45+$EA$79))/($AP$122*BL110))/BC110/10/BG110,"")</f>
        <v>26.15087864088618</v>
      </c>
      <c r="BI110" s="218"/>
      <c r="BJ110" s="218"/>
      <c r="BK110" s="218"/>
      <c r="BL110" s="279">
        <f>IF(OR(OR(AW110="DH",AW110="DR"),AND(ISNUMBER(BD110),BD110=0)),(1-EXP(1)^(-0.04*0.001))/4.15,IF(BD110&gt;0,(1-EXP(1)^(-0.04*BD110))/4.15,IF(BD110="",IF(T110=0,(1-EXP(1)^(-0.04*0.001))/4.15,(1-EXP(1)^(-0.04*T110))/4.15))))</f>
        <v>0.009448327915102849</v>
      </c>
      <c r="BM110" s="224">
        <f>IF(ISNUMBER(BH110),BH110*0.03527396194958,"")</f>
        <v>0.9224450981267034</v>
      </c>
      <c r="BN110" s="225"/>
      <c r="BO110" s="225"/>
      <c r="BP110" s="225"/>
      <c r="BQ110" s="130" t="str">
        <f>IF(AU110&gt;0,AU110,IF(OR(K110="FL",K110="PL"),K110,"PE"))</f>
        <v>PE</v>
      </c>
      <c r="BR110" s="194">
        <f>IF(AND(ISNUMBER(AL110),ISNUMBER($BR$122)),AL110*$BR$122/$AL$122,"")</f>
        <v>2.443993778696918</v>
      </c>
      <c r="BS110" s="194"/>
      <c r="BT110" s="194"/>
      <c r="BU110" s="194"/>
      <c r="BV110" s="19"/>
      <c r="BW110" s="77">
        <f>IF(BW100="T",BR122/(DG85/(CQ45+EA79)),"")</f>
      </c>
      <c r="BX110" s="77"/>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43"/>
      <c r="DH110" s="43"/>
      <c r="DI110" s="165" t="s">
        <v>220</v>
      </c>
      <c r="DJ110" s="165"/>
      <c r="DK110" s="165"/>
      <c r="DL110" s="165"/>
      <c r="DM110" s="165"/>
      <c r="DN110" s="165"/>
      <c r="DO110" s="165"/>
      <c r="DP110" s="165"/>
      <c r="DQ110" s="165"/>
      <c r="DR110" s="165"/>
      <c r="DS110" s="165"/>
      <c r="DT110" s="165"/>
      <c r="DU110" s="165"/>
      <c r="DV110" s="165"/>
      <c r="DW110" s="165"/>
      <c r="DX110" s="165"/>
      <c r="DY110" s="165"/>
      <c r="DZ110" s="165"/>
      <c r="EA110" s="165"/>
      <c r="EB110" s="222"/>
      <c r="EC110" s="222"/>
      <c r="ED110" s="222"/>
      <c r="EE110" s="132" t="s">
        <v>0</v>
      </c>
      <c r="EF110" s="132"/>
      <c r="EG110" s="132"/>
      <c r="EH110" s="132"/>
      <c r="EI110" s="179" t="s">
        <v>1</v>
      </c>
      <c r="EJ110" s="144">
        <f>IF(ISNUMBER(EB110),EB110/2.54,"")</f>
      </c>
      <c r="EK110" s="144"/>
      <c r="EL110" s="144"/>
      <c r="EM110" s="144"/>
      <c r="EN110" s="164" t="s">
        <v>25</v>
      </c>
      <c r="EO110" s="164"/>
      <c r="EP110" s="19"/>
      <c r="EQ110" s="43"/>
      <c r="ER110" s="67"/>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19"/>
      <c r="GB110" s="45"/>
    </row>
    <row r="111" spans="1:184" ht="7.5" customHeight="1">
      <c r="A111" s="43"/>
      <c r="B111" s="19"/>
      <c r="C111" s="141"/>
      <c r="D111" s="142"/>
      <c r="E111" s="142"/>
      <c r="F111" s="142"/>
      <c r="G111" s="142"/>
      <c r="H111" s="142"/>
      <c r="I111" s="142"/>
      <c r="J111" s="142"/>
      <c r="K111" s="137"/>
      <c r="L111" s="137"/>
      <c r="M111" s="137"/>
      <c r="N111" s="137"/>
      <c r="O111" s="19"/>
      <c r="P111" s="253"/>
      <c r="Q111" s="254"/>
      <c r="R111" s="254"/>
      <c r="S111" s="79"/>
      <c r="T111" s="262"/>
      <c r="U111" s="263"/>
      <c r="V111" s="263"/>
      <c r="W111" s="79"/>
      <c r="X111" s="253"/>
      <c r="Y111" s="254"/>
      <c r="Z111" s="254"/>
      <c r="AA111" s="254"/>
      <c r="AB111" s="130"/>
      <c r="AC111" s="162"/>
      <c r="AD111" s="162"/>
      <c r="AE111" s="162"/>
      <c r="AF111" s="162"/>
      <c r="AG111" s="130"/>
      <c r="AH111" s="194"/>
      <c r="AI111" s="194"/>
      <c r="AJ111" s="194"/>
      <c r="AK111" s="194"/>
      <c r="AL111" s="130"/>
      <c r="AM111" s="137"/>
      <c r="AN111" s="137"/>
      <c r="AO111" s="137"/>
      <c r="AP111" s="137"/>
      <c r="AQ111" s="137"/>
      <c r="AR111" s="137"/>
      <c r="AS111" s="137"/>
      <c r="AT111" s="137"/>
      <c r="AU111" s="137"/>
      <c r="AV111" s="137"/>
      <c r="AW111" s="137"/>
      <c r="AX111" s="137"/>
      <c r="AY111" s="130"/>
      <c r="AZ111" s="216"/>
      <c r="BA111" s="216"/>
      <c r="BB111" s="216"/>
      <c r="BC111" s="130"/>
      <c r="BD111" s="159"/>
      <c r="BE111" s="159"/>
      <c r="BF111" s="159"/>
      <c r="BG111" s="280"/>
      <c r="BH111" s="219"/>
      <c r="BI111" s="220"/>
      <c r="BJ111" s="220"/>
      <c r="BK111" s="220"/>
      <c r="BL111" s="279"/>
      <c r="BM111" s="226"/>
      <c r="BN111" s="227"/>
      <c r="BO111" s="227"/>
      <c r="BP111" s="227"/>
      <c r="BQ111" s="130"/>
      <c r="BR111" s="194"/>
      <c r="BS111" s="194"/>
      <c r="BT111" s="194"/>
      <c r="BU111" s="194"/>
      <c r="BV111" s="19"/>
      <c r="BW111" s="77"/>
      <c r="BX111" s="77"/>
      <c r="BY111" s="19"/>
      <c r="BZ111" s="19"/>
      <c r="CA111" s="165" t="s">
        <v>62</v>
      </c>
      <c r="CB111" s="165"/>
      <c r="CC111" s="165"/>
      <c r="CD111" s="165"/>
      <c r="CE111" s="165"/>
      <c r="CF111" s="165"/>
      <c r="CG111" s="165"/>
      <c r="CH111" s="165"/>
      <c r="CI111" s="165"/>
      <c r="CJ111" s="165"/>
      <c r="CK111" s="165"/>
      <c r="CL111" s="165"/>
      <c r="CM111" s="165"/>
      <c r="CN111" s="165"/>
      <c r="CO111" s="165"/>
      <c r="CP111" s="165"/>
      <c r="CQ111" s="181"/>
      <c r="CR111" s="181"/>
      <c r="CS111" s="181"/>
      <c r="CT111" s="181"/>
      <c r="CU111" s="132" t="s">
        <v>61</v>
      </c>
      <c r="CV111" s="132"/>
      <c r="CW111" s="132"/>
      <c r="CX111" s="132"/>
      <c r="CY111" s="132"/>
      <c r="CZ111" s="150">
        <f>IF(ISNUMBER(CQ111),CQ111*0.03527396194958,"")</f>
      </c>
      <c r="DA111" s="150"/>
      <c r="DB111" s="150"/>
      <c r="DC111" s="150"/>
      <c r="DD111" s="164" t="s">
        <v>92</v>
      </c>
      <c r="DE111" s="164"/>
      <c r="DF111" s="164"/>
      <c r="DG111" s="43"/>
      <c r="DH111" s="43"/>
      <c r="DI111" s="165"/>
      <c r="DJ111" s="165"/>
      <c r="DK111" s="165"/>
      <c r="DL111" s="165"/>
      <c r="DM111" s="165"/>
      <c r="DN111" s="165"/>
      <c r="DO111" s="165"/>
      <c r="DP111" s="165"/>
      <c r="DQ111" s="165"/>
      <c r="DR111" s="165"/>
      <c r="DS111" s="165"/>
      <c r="DT111" s="165"/>
      <c r="DU111" s="165"/>
      <c r="DV111" s="165"/>
      <c r="DW111" s="165"/>
      <c r="DX111" s="165"/>
      <c r="DY111" s="165"/>
      <c r="DZ111" s="165"/>
      <c r="EA111" s="165"/>
      <c r="EB111" s="222"/>
      <c r="EC111" s="222"/>
      <c r="ED111" s="222"/>
      <c r="EE111" s="132"/>
      <c r="EF111" s="132"/>
      <c r="EG111" s="132"/>
      <c r="EH111" s="132"/>
      <c r="EI111" s="179"/>
      <c r="EJ111" s="144"/>
      <c r="EK111" s="144"/>
      <c r="EL111" s="144"/>
      <c r="EM111" s="144"/>
      <c r="EN111" s="164"/>
      <c r="EO111" s="164"/>
      <c r="EP111" s="19"/>
      <c r="EQ111" s="43"/>
      <c r="ER111" s="19"/>
      <c r="ES111" s="200"/>
      <c r="ET111" s="200"/>
      <c r="EU111" s="200"/>
      <c r="EV111" s="200"/>
      <c r="EW111" s="200"/>
      <c r="EX111" s="180"/>
      <c r="EY111" s="200"/>
      <c r="EZ111" s="200"/>
      <c r="FA111" s="200"/>
      <c r="FB111" s="200"/>
      <c r="FC111" s="200"/>
      <c r="FD111" s="200"/>
      <c r="FE111" s="200"/>
      <c r="FF111" s="200"/>
      <c r="FG111" s="200"/>
      <c r="FH111" s="200"/>
      <c r="FI111" s="200"/>
      <c r="FJ111" s="200"/>
      <c r="FK111" s="200"/>
      <c r="FL111" s="200"/>
      <c r="FM111" s="200"/>
      <c r="FN111" s="200"/>
      <c r="FO111" s="200"/>
      <c r="FP111" s="200"/>
      <c r="FQ111" s="200"/>
      <c r="FR111" s="200"/>
      <c r="FS111" s="200"/>
      <c r="FT111" s="200"/>
      <c r="FU111" s="64"/>
      <c r="FV111" s="201"/>
      <c r="FW111" s="201"/>
      <c r="FX111" s="201"/>
      <c r="FY111" s="201"/>
      <c r="FZ111" s="201"/>
      <c r="GA111" s="19"/>
      <c r="GB111" s="45"/>
    </row>
    <row r="112" spans="1:184" ht="7.5" customHeight="1" thickBot="1">
      <c r="A112" s="43"/>
      <c r="B112" s="19"/>
      <c r="C112" s="19"/>
      <c r="D112" s="19"/>
      <c r="E112" s="19"/>
      <c r="F112" s="19"/>
      <c r="G112" s="19"/>
      <c r="H112" s="19"/>
      <c r="I112" s="19"/>
      <c r="J112" s="19"/>
      <c r="K112" s="19"/>
      <c r="L112" s="19"/>
      <c r="M112" s="19"/>
      <c r="N112" s="19"/>
      <c r="O112" s="19"/>
      <c r="P112" s="79"/>
      <c r="Q112" s="79"/>
      <c r="R112" s="79"/>
      <c r="S112" s="79"/>
      <c r="T112" s="79"/>
      <c r="U112" s="79"/>
      <c r="V112" s="79"/>
      <c r="W112" s="79"/>
      <c r="X112" s="80"/>
      <c r="Y112" s="80"/>
      <c r="Z112" s="80"/>
      <c r="AA112" s="80"/>
      <c r="AB112" s="74"/>
      <c r="AC112" s="81"/>
      <c r="AD112" s="81"/>
      <c r="AE112" s="81"/>
      <c r="AF112" s="81"/>
      <c r="AG112" s="74"/>
      <c r="AH112" s="66"/>
      <c r="AI112" s="66"/>
      <c r="AJ112" s="66"/>
      <c r="AK112" s="66"/>
      <c r="AL112" s="74"/>
      <c r="AM112" s="19"/>
      <c r="AN112" s="19"/>
      <c r="AO112" s="20"/>
      <c r="AP112" s="19"/>
      <c r="AQ112" s="19"/>
      <c r="AR112" s="19"/>
      <c r="AS112" s="19"/>
      <c r="AT112" s="19"/>
      <c r="AU112" s="19"/>
      <c r="AV112" s="19"/>
      <c r="AW112" s="19"/>
      <c r="AX112" s="19"/>
      <c r="AY112" s="74"/>
      <c r="AZ112" s="79"/>
      <c r="BA112" s="79"/>
      <c r="BB112" s="79"/>
      <c r="BC112" s="74"/>
      <c r="BD112" s="20"/>
      <c r="BE112" s="20"/>
      <c r="BF112" s="20"/>
      <c r="BG112" s="74"/>
      <c r="BH112" s="82"/>
      <c r="BI112" s="82"/>
      <c r="BJ112" s="82"/>
      <c r="BK112" s="82"/>
      <c r="BL112" s="83"/>
      <c r="BM112" s="84"/>
      <c r="BN112" s="84"/>
      <c r="BO112" s="84"/>
      <c r="BP112" s="84"/>
      <c r="BQ112" s="74"/>
      <c r="BR112" s="66"/>
      <c r="BS112" s="66"/>
      <c r="BT112" s="66"/>
      <c r="BU112" s="66"/>
      <c r="BV112" s="19"/>
      <c r="BW112" s="51" t="s">
        <v>131</v>
      </c>
      <c r="BX112" s="51"/>
      <c r="BY112" s="19"/>
      <c r="BZ112" s="19"/>
      <c r="CA112" s="165"/>
      <c r="CB112" s="165"/>
      <c r="CC112" s="165"/>
      <c r="CD112" s="165"/>
      <c r="CE112" s="165"/>
      <c r="CF112" s="165"/>
      <c r="CG112" s="165"/>
      <c r="CH112" s="165"/>
      <c r="CI112" s="165"/>
      <c r="CJ112" s="165"/>
      <c r="CK112" s="165"/>
      <c r="CL112" s="165"/>
      <c r="CM112" s="165"/>
      <c r="CN112" s="165"/>
      <c r="CO112" s="165"/>
      <c r="CP112" s="165"/>
      <c r="CQ112" s="181"/>
      <c r="CR112" s="181"/>
      <c r="CS112" s="181"/>
      <c r="CT112" s="181"/>
      <c r="CU112" s="132"/>
      <c r="CV112" s="132"/>
      <c r="CW112" s="132"/>
      <c r="CX112" s="132"/>
      <c r="CY112" s="132"/>
      <c r="CZ112" s="150"/>
      <c r="DA112" s="150"/>
      <c r="DB112" s="150"/>
      <c r="DC112" s="150"/>
      <c r="DD112" s="164"/>
      <c r="DE112" s="164"/>
      <c r="DF112" s="164"/>
      <c r="DG112" s="43"/>
      <c r="DH112" s="43"/>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43"/>
      <c r="ER112" s="19"/>
      <c r="ES112" s="200"/>
      <c r="ET112" s="200"/>
      <c r="EU112" s="200"/>
      <c r="EV112" s="200"/>
      <c r="EW112" s="200"/>
      <c r="EX112" s="180"/>
      <c r="EY112" s="200"/>
      <c r="EZ112" s="200"/>
      <c r="FA112" s="200"/>
      <c r="FB112" s="200"/>
      <c r="FC112" s="200"/>
      <c r="FD112" s="200"/>
      <c r="FE112" s="200"/>
      <c r="FF112" s="200"/>
      <c r="FG112" s="200"/>
      <c r="FH112" s="200"/>
      <c r="FI112" s="200"/>
      <c r="FJ112" s="200"/>
      <c r="FK112" s="200"/>
      <c r="FL112" s="200"/>
      <c r="FM112" s="200"/>
      <c r="FN112" s="200"/>
      <c r="FO112" s="200"/>
      <c r="FP112" s="200"/>
      <c r="FQ112" s="200"/>
      <c r="FR112" s="200"/>
      <c r="FS112" s="200"/>
      <c r="FT112" s="200"/>
      <c r="FU112" s="64"/>
      <c r="FV112" s="201"/>
      <c r="FW112" s="201"/>
      <c r="FX112" s="201"/>
      <c r="FY112" s="201"/>
      <c r="FZ112" s="201"/>
      <c r="GA112" s="19"/>
      <c r="GB112" s="45"/>
    </row>
    <row r="113" spans="1:184" ht="7.5" customHeight="1">
      <c r="A113" s="43"/>
      <c r="B113" s="19"/>
      <c r="C113" s="139" t="s">
        <v>392</v>
      </c>
      <c r="D113" s="140"/>
      <c r="E113" s="140"/>
      <c r="F113" s="140"/>
      <c r="G113" s="140"/>
      <c r="H113" s="140"/>
      <c r="I113" s="140"/>
      <c r="J113" s="140"/>
      <c r="K113" s="137"/>
      <c r="L113" s="137"/>
      <c r="M113" s="137" t="s">
        <v>394</v>
      </c>
      <c r="N113" s="137"/>
      <c r="O113" s="19"/>
      <c r="P113" s="251">
        <v>11</v>
      </c>
      <c r="Q113" s="252"/>
      <c r="R113" s="252"/>
      <c r="S113" s="79"/>
      <c r="T113" s="260"/>
      <c r="U113" s="261"/>
      <c r="V113" s="261"/>
      <c r="W113" s="79"/>
      <c r="X113" s="251">
        <v>85.04857</v>
      </c>
      <c r="Y113" s="252"/>
      <c r="Z113" s="252"/>
      <c r="AA113" s="252"/>
      <c r="AB113" s="130">
        <f>IF(OR(OR(M113="DH",M113="DR"),AND(ISNUMBER(T113),T113=0)),(1-EXP(1)^(-0.04*0.001))/4.15,IF(T113&gt;0,(1-EXP(1)^(-0.04*T113))/4.15,IF(T113="","")))</f>
        <v>9.6383614483718E-06</v>
      </c>
      <c r="AC113" s="162">
        <f>IF(ISNUMBER(X113),X113*0.03527396194958,"")</f>
        <v>3.0000000220461907</v>
      </c>
      <c r="AD113" s="162"/>
      <c r="AE113" s="162"/>
      <c r="AF113" s="162"/>
      <c r="AG113" s="130">
        <f>IF(OR($BG$86&gt;0,$BP$89&gt;0),IF(AND(P113&gt;0,X113&gt;0,$BG$86&gt;0),(P113/100*X113*1000)/$BG$86,IF(AND(P113&gt;0,X113&gt;0,ISNUMBER($CQ$45)),(P113/100*X113*1000)/$CQ$45,"")))</f>
        <v>353.06111073372125</v>
      </c>
      <c r="AH113" s="194">
        <f>IF(AND(ISNUMBER(AL113),$BG$86&gt;0),AL113,"")</f>
        <v>0.0035697781920757303</v>
      </c>
      <c r="AI113" s="194"/>
      <c r="AJ113" s="194"/>
      <c r="AK113" s="194"/>
      <c r="AL113" s="130">
        <f>IF(AND(ISNUMBER($F$122),ISNUMBER(AB113),ISNUMBER(AG113)),$F$122*AB113*AG113*IF(K113="FL",1,IF(K113="PL",1.02,1.1)),"")</f>
        <v>0.0035697781920757303</v>
      </c>
      <c r="AM113" s="137"/>
      <c r="AN113" s="137"/>
      <c r="AO113" s="137"/>
      <c r="AP113" s="137"/>
      <c r="AQ113" s="137"/>
      <c r="AR113" s="137"/>
      <c r="AS113" s="137"/>
      <c r="AT113" s="137"/>
      <c r="AU113" s="137"/>
      <c r="AV113" s="137"/>
      <c r="AW113" s="137"/>
      <c r="AX113" s="137"/>
      <c r="AY113" s="130" t="str">
        <f>IF(C113&gt;0,IF(AM113&gt;0,AM113,C113),"")</f>
        <v>Citra</v>
      </c>
      <c r="AZ113" s="216"/>
      <c r="BA113" s="216"/>
      <c r="BB113" s="216"/>
      <c r="BC113" s="130">
        <f>IF(P113&gt;0,IF(AZ113&gt;0,AZ113,P113),"")</f>
        <v>11</v>
      </c>
      <c r="BD113" s="159"/>
      <c r="BE113" s="159"/>
      <c r="BF113" s="159"/>
      <c r="BG113" s="280">
        <f>IF(BQ113="FL",1,IF(BQ113="PL",1.02,IF(BQ113="PE",1.1,1)))</f>
        <v>1.1</v>
      </c>
      <c r="BH113" s="217">
        <f>IF(AND(ISNUMBER($CQ$45),ISNUMBER($AP$122),ISNUMBER(BL113),ISNUMBER(BR113),BC113&gt;0),((BR113*($CQ$45+$EA$79))/($AP$122*BL113))/BC113/10/BG113,"")</f>
        <v>62.76211611768843</v>
      </c>
      <c r="BI113" s="218"/>
      <c r="BJ113" s="218"/>
      <c r="BK113" s="218"/>
      <c r="BL113" s="279">
        <f>IF(OR(OR(AW113="DH",AW113="DR"),AND(ISNUMBER(BD113),BD113=0)),(1-EXP(1)^(-0.04*0.001))/4.15,IF(BD113&gt;0,(1-EXP(1)^(-0.04*BD113))/4.15,IF(BD113="",IF(T113=0,(1-EXP(1)^(-0.04*0.001))/4.15,(1-EXP(1)^(-0.04*T113))/4.15))))</f>
        <v>9.6383614483718E-06</v>
      </c>
      <c r="BM113" s="224">
        <f>IF(ISNUMBER(BH113),BH113*0.03527396194958,"")</f>
        <v>2.213868495810463</v>
      </c>
      <c r="BN113" s="225"/>
      <c r="BO113" s="225"/>
      <c r="BP113" s="225"/>
      <c r="BQ113" s="130" t="str">
        <f>IF(AU113&gt;0,AU113,IF(OR(K113="FL",K113="PL"),K113,"PE"))</f>
        <v>PE</v>
      </c>
      <c r="BR113" s="194">
        <f>IF(AND(ISNUMBER(AL113),ISNUMBER($BR$122)),AL113*$BR$122/$AL$122,"")</f>
        <v>0.005983559858981333</v>
      </c>
      <c r="BS113" s="194"/>
      <c r="BT113" s="194"/>
      <c r="BU113" s="194"/>
      <c r="BV113" s="19"/>
      <c r="BW113" s="51"/>
      <c r="BX113" s="51"/>
      <c r="BY113" s="248">
        <f>IF(CQ111&gt;0,"Assumes DME with 45 ppg FGAI and 3 SRM.","")</f>
      </c>
      <c r="BZ113" s="248"/>
      <c r="CA113" s="248"/>
      <c r="CB113" s="248"/>
      <c r="CC113" s="248"/>
      <c r="CD113" s="248"/>
      <c r="CE113" s="248"/>
      <c r="CF113" s="248"/>
      <c r="CG113" s="248"/>
      <c r="CH113" s="248"/>
      <c r="CI113" s="248"/>
      <c r="CJ113" s="248"/>
      <c r="CK113" s="248"/>
      <c r="CL113" s="248"/>
      <c r="CM113" s="248"/>
      <c r="CN113" s="248"/>
      <c r="CO113" s="248"/>
      <c r="CP113" s="248"/>
      <c r="CQ113" s="248"/>
      <c r="CR113" s="248"/>
      <c r="CS113" s="248"/>
      <c r="CT113" s="248"/>
      <c r="CU113" s="248"/>
      <c r="CV113" s="248"/>
      <c r="CW113" s="248"/>
      <c r="CX113" s="248"/>
      <c r="CY113" s="248"/>
      <c r="CZ113" s="248"/>
      <c r="DA113" s="248"/>
      <c r="DB113" s="248"/>
      <c r="DC113" s="248"/>
      <c r="DD113" s="248"/>
      <c r="DE113" s="248"/>
      <c r="DF113" s="248"/>
      <c r="DG113" s="43"/>
      <c r="DH113" s="43"/>
      <c r="DI113" s="179" t="s">
        <v>381</v>
      </c>
      <c r="DJ113" s="132"/>
      <c r="DK113" s="132"/>
      <c r="DL113" s="132"/>
      <c r="DM113" s="132"/>
      <c r="DN113" s="132"/>
      <c r="DO113" s="132"/>
      <c r="DP113" s="132"/>
      <c r="DQ113" s="132"/>
      <c r="DR113" s="132"/>
      <c r="DS113" s="132"/>
      <c r="DT113" s="132"/>
      <c r="DU113" s="132"/>
      <c r="DV113" s="132"/>
      <c r="DW113" s="132"/>
      <c r="DX113" s="132"/>
      <c r="DY113" s="132"/>
      <c r="DZ113" s="132"/>
      <c r="EA113" s="132"/>
      <c r="EB113" s="132"/>
      <c r="EC113" s="132"/>
      <c r="ED113" s="132"/>
      <c r="EE113" s="132"/>
      <c r="EF113" s="132"/>
      <c r="EG113" s="132"/>
      <c r="EH113" s="132"/>
      <c r="EI113" s="132"/>
      <c r="EJ113" s="132"/>
      <c r="EK113" s="132"/>
      <c r="EL113" s="132"/>
      <c r="EM113" s="132"/>
      <c r="EN113" s="132"/>
      <c r="EO113" s="132"/>
      <c r="EP113" s="132"/>
      <c r="EQ113" s="43"/>
      <c r="ER113" s="67"/>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19"/>
      <c r="GB113" s="45"/>
    </row>
    <row r="114" spans="1:184" ht="7.5" customHeight="1">
      <c r="A114" s="43"/>
      <c r="B114" s="19"/>
      <c r="C114" s="141"/>
      <c r="D114" s="142"/>
      <c r="E114" s="142"/>
      <c r="F114" s="142"/>
      <c r="G114" s="142"/>
      <c r="H114" s="142"/>
      <c r="I114" s="142"/>
      <c r="J114" s="142"/>
      <c r="K114" s="137"/>
      <c r="L114" s="137"/>
      <c r="M114" s="137"/>
      <c r="N114" s="137"/>
      <c r="O114" s="19"/>
      <c r="P114" s="253"/>
      <c r="Q114" s="254"/>
      <c r="R114" s="254"/>
      <c r="S114" s="79"/>
      <c r="T114" s="262"/>
      <c r="U114" s="263"/>
      <c r="V114" s="263"/>
      <c r="W114" s="79"/>
      <c r="X114" s="253"/>
      <c r="Y114" s="254"/>
      <c r="Z114" s="254"/>
      <c r="AA114" s="254"/>
      <c r="AB114" s="130"/>
      <c r="AC114" s="162"/>
      <c r="AD114" s="162"/>
      <c r="AE114" s="162"/>
      <c r="AF114" s="162"/>
      <c r="AG114" s="130"/>
      <c r="AH114" s="194"/>
      <c r="AI114" s="194"/>
      <c r="AJ114" s="194"/>
      <c r="AK114" s="194"/>
      <c r="AL114" s="130"/>
      <c r="AM114" s="137"/>
      <c r="AN114" s="137"/>
      <c r="AO114" s="137"/>
      <c r="AP114" s="137"/>
      <c r="AQ114" s="137"/>
      <c r="AR114" s="137"/>
      <c r="AS114" s="137"/>
      <c r="AT114" s="137"/>
      <c r="AU114" s="137"/>
      <c r="AV114" s="137"/>
      <c r="AW114" s="137"/>
      <c r="AX114" s="137"/>
      <c r="AY114" s="130"/>
      <c r="AZ114" s="216"/>
      <c r="BA114" s="216"/>
      <c r="BB114" s="216"/>
      <c r="BC114" s="130"/>
      <c r="BD114" s="159"/>
      <c r="BE114" s="159"/>
      <c r="BF114" s="159"/>
      <c r="BG114" s="280"/>
      <c r="BH114" s="219"/>
      <c r="BI114" s="220"/>
      <c r="BJ114" s="220"/>
      <c r="BK114" s="220"/>
      <c r="BL114" s="279"/>
      <c r="BM114" s="226"/>
      <c r="BN114" s="227"/>
      <c r="BO114" s="227"/>
      <c r="BP114" s="227"/>
      <c r="BQ114" s="130"/>
      <c r="BR114" s="194"/>
      <c r="BS114" s="194"/>
      <c r="BT114" s="194"/>
      <c r="BU114" s="194"/>
      <c r="BV114" s="19"/>
      <c r="BW114" s="77" t="str">
        <f>IF(CQ108&gt;0,"T","F")</f>
        <v>F</v>
      </c>
      <c r="BX114" s="77"/>
      <c r="BY114" s="248"/>
      <c r="BZ114" s="248"/>
      <c r="CA114" s="248"/>
      <c r="CB114" s="248"/>
      <c r="CC114" s="248"/>
      <c r="CD114" s="248"/>
      <c r="CE114" s="248"/>
      <c r="CF114" s="248"/>
      <c r="CG114" s="248"/>
      <c r="CH114" s="248"/>
      <c r="CI114" s="248"/>
      <c r="CJ114" s="248"/>
      <c r="CK114" s="248"/>
      <c r="CL114" s="248"/>
      <c r="CM114" s="248"/>
      <c r="CN114" s="248"/>
      <c r="CO114" s="248"/>
      <c r="CP114" s="248"/>
      <c r="CQ114" s="248"/>
      <c r="CR114" s="248"/>
      <c r="CS114" s="248"/>
      <c r="CT114" s="248"/>
      <c r="CU114" s="248"/>
      <c r="CV114" s="248"/>
      <c r="CW114" s="248"/>
      <c r="CX114" s="248"/>
      <c r="CY114" s="248"/>
      <c r="CZ114" s="248"/>
      <c r="DA114" s="248"/>
      <c r="DB114" s="248"/>
      <c r="DC114" s="248"/>
      <c r="DD114" s="248"/>
      <c r="DE114" s="248"/>
      <c r="DF114" s="248"/>
      <c r="DG114" s="43"/>
      <c r="DH114" s="43"/>
      <c r="DI114" s="132"/>
      <c r="DJ114" s="132"/>
      <c r="DK114" s="132"/>
      <c r="DL114" s="132"/>
      <c r="DM114" s="132"/>
      <c r="DN114" s="132"/>
      <c r="DO114" s="132"/>
      <c r="DP114" s="132"/>
      <c r="DQ114" s="132"/>
      <c r="DR114" s="132"/>
      <c r="DS114" s="132"/>
      <c r="DT114" s="132"/>
      <c r="DU114" s="132"/>
      <c r="DV114" s="132"/>
      <c r="DW114" s="132"/>
      <c r="DX114" s="132"/>
      <c r="DY114" s="132"/>
      <c r="DZ114" s="132"/>
      <c r="EA114" s="132"/>
      <c r="EB114" s="132"/>
      <c r="EC114" s="132"/>
      <c r="ED114" s="132"/>
      <c r="EE114" s="132"/>
      <c r="EF114" s="132"/>
      <c r="EG114" s="132"/>
      <c r="EH114" s="132"/>
      <c r="EI114" s="132"/>
      <c r="EJ114" s="132"/>
      <c r="EK114" s="132"/>
      <c r="EL114" s="132"/>
      <c r="EM114" s="132"/>
      <c r="EN114" s="132"/>
      <c r="EO114" s="132"/>
      <c r="EP114" s="132"/>
      <c r="EQ114" s="43"/>
      <c r="ER114" s="19"/>
      <c r="ES114" s="200"/>
      <c r="ET114" s="200"/>
      <c r="EU114" s="200"/>
      <c r="EV114" s="200"/>
      <c r="EW114" s="200"/>
      <c r="EX114" s="180"/>
      <c r="EY114" s="200"/>
      <c r="EZ114" s="200"/>
      <c r="FA114" s="200"/>
      <c r="FB114" s="200"/>
      <c r="FC114" s="200"/>
      <c r="FD114" s="200"/>
      <c r="FE114" s="200"/>
      <c r="FF114" s="200"/>
      <c r="FG114" s="200"/>
      <c r="FH114" s="200"/>
      <c r="FI114" s="200"/>
      <c r="FJ114" s="200"/>
      <c r="FK114" s="200"/>
      <c r="FL114" s="200"/>
      <c r="FM114" s="200"/>
      <c r="FN114" s="200"/>
      <c r="FO114" s="200"/>
      <c r="FP114" s="200"/>
      <c r="FQ114" s="200"/>
      <c r="FR114" s="200"/>
      <c r="FS114" s="200"/>
      <c r="FT114" s="200"/>
      <c r="FU114" s="64"/>
      <c r="FV114" s="201"/>
      <c r="FW114" s="201"/>
      <c r="FX114" s="201"/>
      <c r="FY114" s="201"/>
      <c r="FZ114" s="201"/>
      <c r="GA114" s="19"/>
      <c r="GB114" s="45"/>
    </row>
    <row r="115" spans="1:184" ht="7.5" customHeight="1" thickBot="1">
      <c r="A115" s="43"/>
      <c r="B115" s="19"/>
      <c r="C115" s="19"/>
      <c r="D115" s="19"/>
      <c r="E115" s="19"/>
      <c r="F115" s="19"/>
      <c r="G115" s="19"/>
      <c r="H115" s="19"/>
      <c r="I115" s="19"/>
      <c r="J115" s="19"/>
      <c r="K115" s="19"/>
      <c r="L115" s="19"/>
      <c r="M115" s="19"/>
      <c r="N115" s="19"/>
      <c r="O115" s="19"/>
      <c r="P115" s="79"/>
      <c r="Q115" s="79"/>
      <c r="R115" s="79"/>
      <c r="S115" s="79"/>
      <c r="T115" s="79"/>
      <c r="U115" s="79"/>
      <c r="V115" s="79"/>
      <c r="W115" s="79"/>
      <c r="X115" s="80"/>
      <c r="Y115" s="80"/>
      <c r="Z115" s="80"/>
      <c r="AA115" s="80"/>
      <c r="AB115" s="74"/>
      <c r="AC115" s="81"/>
      <c r="AD115" s="81"/>
      <c r="AE115" s="81"/>
      <c r="AF115" s="81"/>
      <c r="AG115" s="74"/>
      <c r="AH115" s="66"/>
      <c r="AI115" s="66"/>
      <c r="AJ115" s="66"/>
      <c r="AK115" s="66"/>
      <c r="AL115" s="74"/>
      <c r="AM115" s="19"/>
      <c r="AN115" s="19"/>
      <c r="AO115" s="19"/>
      <c r="AP115" s="19"/>
      <c r="AQ115" s="19"/>
      <c r="AR115" s="19"/>
      <c r="AS115" s="19"/>
      <c r="AT115" s="19"/>
      <c r="AU115" s="19"/>
      <c r="AV115" s="19"/>
      <c r="AW115" s="19"/>
      <c r="AX115" s="19"/>
      <c r="AY115" s="74"/>
      <c r="AZ115" s="79"/>
      <c r="BA115" s="79"/>
      <c r="BB115" s="79"/>
      <c r="BC115" s="74"/>
      <c r="BD115" s="20"/>
      <c r="BE115" s="20"/>
      <c r="BF115" s="20"/>
      <c r="BG115" s="74"/>
      <c r="BH115" s="82"/>
      <c r="BI115" s="82"/>
      <c r="BJ115" s="82"/>
      <c r="BK115" s="82"/>
      <c r="BL115" s="83"/>
      <c r="BM115" s="84"/>
      <c r="BN115" s="84"/>
      <c r="BO115" s="84"/>
      <c r="BP115" s="84"/>
      <c r="BQ115" s="74"/>
      <c r="BR115" s="66"/>
      <c r="BS115" s="66"/>
      <c r="BT115" s="66"/>
      <c r="BU115" s="66"/>
      <c r="BV115" s="19"/>
      <c r="BW115" s="77"/>
      <c r="BX115" s="77"/>
      <c r="BY115" s="158" t="s">
        <v>247</v>
      </c>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5" t="s">
        <v>91</v>
      </c>
      <c r="DF115" s="156"/>
      <c r="DG115" s="43"/>
      <c r="DH115" s="43"/>
      <c r="DI115" s="158" t="s">
        <v>254</v>
      </c>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5" t="s">
        <v>91</v>
      </c>
      <c r="EP115" s="156"/>
      <c r="EQ115" s="43"/>
      <c r="ER115" s="19"/>
      <c r="ES115" s="200"/>
      <c r="ET115" s="200"/>
      <c r="EU115" s="200"/>
      <c r="EV115" s="200"/>
      <c r="EW115" s="200"/>
      <c r="EX115" s="180"/>
      <c r="EY115" s="200"/>
      <c r="EZ115" s="200"/>
      <c r="FA115" s="200"/>
      <c r="FB115" s="200"/>
      <c r="FC115" s="200"/>
      <c r="FD115" s="200"/>
      <c r="FE115" s="200"/>
      <c r="FF115" s="200"/>
      <c r="FG115" s="200"/>
      <c r="FH115" s="200"/>
      <c r="FI115" s="200"/>
      <c r="FJ115" s="200"/>
      <c r="FK115" s="200"/>
      <c r="FL115" s="200"/>
      <c r="FM115" s="200"/>
      <c r="FN115" s="200"/>
      <c r="FO115" s="200"/>
      <c r="FP115" s="200"/>
      <c r="FQ115" s="200"/>
      <c r="FR115" s="200"/>
      <c r="FS115" s="200"/>
      <c r="FT115" s="200"/>
      <c r="FU115" s="64"/>
      <c r="FV115" s="201"/>
      <c r="FW115" s="201"/>
      <c r="FX115" s="201"/>
      <c r="FY115" s="201"/>
      <c r="FZ115" s="201"/>
      <c r="GA115" s="19"/>
      <c r="GB115" s="45"/>
    </row>
    <row r="116" spans="1:184" ht="7.5" customHeight="1">
      <c r="A116" s="43"/>
      <c r="B116" s="19"/>
      <c r="C116" s="139"/>
      <c r="D116" s="140"/>
      <c r="E116" s="140"/>
      <c r="F116" s="140"/>
      <c r="G116" s="140"/>
      <c r="H116" s="140"/>
      <c r="I116" s="140"/>
      <c r="J116" s="140"/>
      <c r="K116" s="137"/>
      <c r="L116" s="137"/>
      <c r="M116" s="137"/>
      <c r="N116" s="137"/>
      <c r="O116" s="19"/>
      <c r="P116" s="251"/>
      <c r="Q116" s="252"/>
      <c r="R116" s="252"/>
      <c r="S116" s="79"/>
      <c r="T116" s="260"/>
      <c r="U116" s="261"/>
      <c r="V116" s="261"/>
      <c r="W116" s="79"/>
      <c r="X116" s="251"/>
      <c r="Y116" s="252"/>
      <c r="Z116" s="252"/>
      <c r="AA116" s="252"/>
      <c r="AB116" s="130">
        <f>IF(OR(OR(M116="DH",M116="DR"),AND(ISNUMBER(T116),T116=0)),(1-EXP(1)^(-0.04*0.001))/4.15,IF(T116&gt;0,(1-EXP(1)^(-0.04*T116))/4.15,IF(T116="","")))</f>
      </c>
      <c r="AC116" s="162">
        <f>IF(ISNUMBER(X116),X116*0.03527396194958,"")</f>
      </c>
      <c r="AD116" s="162"/>
      <c r="AE116" s="162"/>
      <c r="AF116" s="162"/>
      <c r="AG116" s="130">
        <f>IF(OR($BG$86&gt;0,$BP$89&gt;0),IF(AND(P116&gt;0,X116&gt;0,$BG$86&gt;0),(P116/100*X116*1000)/$BG$86,IF(AND(P116&gt;0,X116&gt;0,ISNUMBER($CQ$45)),(P116/100*X116*1000)/$CQ$45,"")))</f>
      </c>
      <c r="AH116" s="194">
        <f>IF(AND(ISNUMBER(AL116),$BG$86&gt;0),AL116,"")</f>
      </c>
      <c r="AI116" s="194"/>
      <c r="AJ116" s="194"/>
      <c r="AK116" s="194"/>
      <c r="AL116" s="130">
        <f>IF(AND(ISNUMBER($F$122),ISNUMBER(AB116),ISNUMBER(AG116)),$F$122*AB116*AG116*IF(K116="FL",1,IF(K116="PL",1.02,1.1)),"")</f>
      </c>
      <c r="AM116" s="137"/>
      <c r="AN116" s="137"/>
      <c r="AO116" s="137"/>
      <c r="AP116" s="137"/>
      <c r="AQ116" s="137"/>
      <c r="AR116" s="137"/>
      <c r="AS116" s="137"/>
      <c r="AT116" s="137"/>
      <c r="AU116" s="137"/>
      <c r="AV116" s="137"/>
      <c r="AW116" s="137"/>
      <c r="AX116" s="137"/>
      <c r="AY116" s="130">
        <f>IF(C116&gt;0,IF(AM116&gt;0,AM116,C116),"")</f>
      </c>
      <c r="AZ116" s="216"/>
      <c r="BA116" s="216"/>
      <c r="BB116" s="216"/>
      <c r="BC116" s="130">
        <f>IF(P116&gt;0,IF(AZ116&gt;0,AZ116,P116),"")</f>
      </c>
      <c r="BD116" s="159"/>
      <c r="BE116" s="159"/>
      <c r="BF116" s="159"/>
      <c r="BG116" s="280">
        <f>IF(BQ116="FL",1,IF(BQ116="PL",1.02,IF(BQ116="PE",1.1,1)))</f>
        <v>1.1</v>
      </c>
      <c r="BH116" s="217">
        <f>IF(AND(ISNUMBER($CQ$45),ISNUMBER($AP$122),ISNUMBER(BL116),ISNUMBER(BR116),BC116&gt;0),((BR116*($CQ$45+$EA$79))/($AP$122*BL116))/BC116/10/BG116,"")</f>
      </c>
      <c r="BI116" s="218"/>
      <c r="BJ116" s="218"/>
      <c r="BK116" s="218"/>
      <c r="BL116" s="279">
        <f>IF(OR(OR(AW116="DH",AW116="DR"),AND(ISNUMBER(BD116),BD116=0)),(1-EXP(1)^(-0.04*0.001))/4.15,IF(BD116&gt;0,(1-EXP(1)^(-0.04*BD116))/4.15,IF(BD116="",IF(T116=0,(1-EXP(1)^(-0.04*0.001))/4.15,(1-EXP(1)^(-0.04*T116))/4.15))))</f>
        <v>9.6383614483718E-06</v>
      </c>
      <c r="BM116" s="224">
        <f>IF(ISNUMBER(BH116),BH116*0.03527396194958,"")</f>
      </c>
      <c r="BN116" s="225"/>
      <c r="BO116" s="225"/>
      <c r="BP116" s="225"/>
      <c r="BQ116" s="130" t="str">
        <f>IF(AU116&gt;0,AU116,IF(OR(K116="FL",K116="PL"),K116,"PE"))</f>
        <v>PE</v>
      </c>
      <c r="BR116" s="194">
        <f>IF(AND(ISNUMBER(AL116),ISNUMBER($BR$122)),AL116*$BR$122/$AL$122,"")</f>
      </c>
      <c r="BS116" s="194"/>
      <c r="BT116" s="194"/>
      <c r="BU116" s="194"/>
      <c r="BV116" s="19"/>
      <c r="BW116" s="77" t="str">
        <f>IF(AND(CQ108&gt;0,CQ105&gt;0),"T","F")</f>
        <v>F</v>
      </c>
      <c r="BX116" s="77"/>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6"/>
      <c r="DF116" s="156"/>
      <c r="DG116" s="43"/>
      <c r="DH116" s="43"/>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6"/>
      <c r="EP116" s="156"/>
      <c r="EQ116" s="43"/>
      <c r="ER116" s="67"/>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19"/>
      <c r="GB116" s="45"/>
    </row>
    <row r="117" spans="1:184" ht="7.5" customHeight="1">
      <c r="A117" s="43"/>
      <c r="B117" s="19"/>
      <c r="C117" s="141"/>
      <c r="D117" s="142"/>
      <c r="E117" s="142"/>
      <c r="F117" s="142"/>
      <c r="G117" s="142"/>
      <c r="H117" s="142"/>
      <c r="I117" s="142"/>
      <c r="J117" s="142"/>
      <c r="K117" s="137"/>
      <c r="L117" s="137"/>
      <c r="M117" s="137"/>
      <c r="N117" s="137"/>
      <c r="O117" s="19"/>
      <c r="P117" s="253"/>
      <c r="Q117" s="254"/>
      <c r="R117" s="254"/>
      <c r="S117" s="79"/>
      <c r="T117" s="262"/>
      <c r="U117" s="263"/>
      <c r="V117" s="263"/>
      <c r="W117" s="79"/>
      <c r="X117" s="253"/>
      <c r="Y117" s="254"/>
      <c r="Z117" s="254"/>
      <c r="AA117" s="254"/>
      <c r="AB117" s="130"/>
      <c r="AC117" s="162"/>
      <c r="AD117" s="162"/>
      <c r="AE117" s="162"/>
      <c r="AF117" s="162"/>
      <c r="AG117" s="130"/>
      <c r="AH117" s="194"/>
      <c r="AI117" s="194"/>
      <c r="AJ117" s="194"/>
      <c r="AK117" s="194"/>
      <c r="AL117" s="130"/>
      <c r="AM117" s="137"/>
      <c r="AN117" s="137"/>
      <c r="AO117" s="137"/>
      <c r="AP117" s="137"/>
      <c r="AQ117" s="137"/>
      <c r="AR117" s="137"/>
      <c r="AS117" s="137"/>
      <c r="AT117" s="137"/>
      <c r="AU117" s="137"/>
      <c r="AV117" s="137"/>
      <c r="AW117" s="137"/>
      <c r="AX117" s="137"/>
      <c r="AY117" s="130"/>
      <c r="AZ117" s="216"/>
      <c r="BA117" s="216"/>
      <c r="BB117" s="216"/>
      <c r="BC117" s="130"/>
      <c r="BD117" s="159"/>
      <c r="BE117" s="159"/>
      <c r="BF117" s="159"/>
      <c r="BG117" s="280"/>
      <c r="BH117" s="219"/>
      <c r="BI117" s="220"/>
      <c r="BJ117" s="220"/>
      <c r="BK117" s="220"/>
      <c r="BL117" s="279"/>
      <c r="BM117" s="226"/>
      <c r="BN117" s="227"/>
      <c r="BO117" s="227"/>
      <c r="BP117" s="227"/>
      <c r="BQ117" s="130"/>
      <c r="BR117" s="194"/>
      <c r="BS117" s="194"/>
      <c r="BT117" s="194"/>
      <c r="BU117" s="194"/>
      <c r="BV117" s="19"/>
      <c r="BW117" s="77"/>
      <c r="BX117" s="77"/>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43"/>
      <c r="DH117" s="43"/>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43"/>
      <c r="ER117" s="19"/>
      <c r="ES117" s="200"/>
      <c r="ET117" s="200"/>
      <c r="EU117" s="200"/>
      <c r="EV117" s="200"/>
      <c r="EW117" s="200"/>
      <c r="EX117" s="180"/>
      <c r="EY117" s="200"/>
      <c r="EZ117" s="200"/>
      <c r="FA117" s="200"/>
      <c r="FB117" s="200"/>
      <c r="FC117" s="200"/>
      <c r="FD117" s="200"/>
      <c r="FE117" s="200"/>
      <c r="FF117" s="200"/>
      <c r="FG117" s="200"/>
      <c r="FH117" s="200"/>
      <c r="FI117" s="200"/>
      <c r="FJ117" s="200"/>
      <c r="FK117" s="200"/>
      <c r="FL117" s="200"/>
      <c r="FM117" s="200"/>
      <c r="FN117" s="200"/>
      <c r="FO117" s="200"/>
      <c r="FP117" s="200"/>
      <c r="FQ117" s="200"/>
      <c r="FR117" s="200"/>
      <c r="FS117" s="200"/>
      <c r="FT117" s="200"/>
      <c r="FU117" s="64"/>
      <c r="FV117" s="201"/>
      <c r="FW117" s="201"/>
      <c r="FX117" s="201"/>
      <c r="FY117" s="201"/>
      <c r="FZ117" s="201"/>
      <c r="GA117" s="19"/>
      <c r="GB117" s="45"/>
    </row>
    <row r="118" spans="1:184" ht="7.5" customHeight="1" thickBot="1">
      <c r="A118" s="43"/>
      <c r="B118" s="19"/>
      <c r="C118" s="19"/>
      <c r="D118" s="19"/>
      <c r="E118" s="19"/>
      <c r="F118" s="19"/>
      <c r="G118" s="19"/>
      <c r="H118" s="19"/>
      <c r="I118" s="19"/>
      <c r="J118" s="19"/>
      <c r="K118" s="19"/>
      <c r="L118" s="19"/>
      <c r="M118" s="19"/>
      <c r="N118" s="19"/>
      <c r="O118" s="19"/>
      <c r="P118" s="79"/>
      <c r="Q118" s="79"/>
      <c r="R118" s="79"/>
      <c r="S118" s="79"/>
      <c r="T118" s="79"/>
      <c r="U118" s="79"/>
      <c r="V118" s="79"/>
      <c r="W118" s="79"/>
      <c r="X118" s="80"/>
      <c r="Y118" s="80"/>
      <c r="Z118" s="80"/>
      <c r="AA118" s="80"/>
      <c r="AB118" s="74"/>
      <c r="AC118" s="81"/>
      <c r="AD118" s="81"/>
      <c r="AE118" s="81"/>
      <c r="AF118" s="81"/>
      <c r="AG118" s="74"/>
      <c r="AH118" s="66"/>
      <c r="AI118" s="66"/>
      <c r="AJ118" s="66"/>
      <c r="AK118" s="66"/>
      <c r="AL118" s="74"/>
      <c r="AM118" s="19"/>
      <c r="AN118" s="19"/>
      <c r="AO118" s="19"/>
      <c r="AP118" s="19"/>
      <c r="AQ118" s="19"/>
      <c r="AR118" s="19"/>
      <c r="AS118" s="19"/>
      <c r="AT118" s="19"/>
      <c r="AU118" s="19"/>
      <c r="AV118" s="19"/>
      <c r="AW118" s="19"/>
      <c r="AX118" s="19"/>
      <c r="AY118" s="74"/>
      <c r="AZ118" s="79"/>
      <c r="BA118" s="79"/>
      <c r="BB118" s="79"/>
      <c r="BC118" s="74"/>
      <c r="BD118" s="20"/>
      <c r="BE118" s="20"/>
      <c r="BF118" s="20"/>
      <c r="BG118" s="74"/>
      <c r="BH118" s="82"/>
      <c r="BI118" s="82"/>
      <c r="BJ118" s="82"/>
      <c r="BK118" s="82"/>
      <c r="BL118" s="83"/>
      <c r="BM118" s="84"/>
      <c r="BN118" s="84"/>
      <c r="BO118" s="84"/>
      <c r="BP118" s="84"/>
      <c r="BQ118" s="74"/>
      <c r="BR118" s="66"/>
      <c r="BS118" s="66"/>
      <c r="BT118" s="66"/>
      <c r="BU118" s="66"/>
      <c r="BV118" s="19"/>
      <c r="BW118" s="77" t="str">
        <f>IF(CQ105&gt;0,"T","F")</f>
        <v>F</v>
      </c>
      <c r="BX118" s="77"/>
      <c r="BY118" s="165" t="s">
        <v>63</v>
      </c>
      <c r="BZ118" s="165"/>
      <c r="CA118" s="165"/>
      <c r="CB118" s="165"/>
      <c r="CC118" s="165"/>
      <c r="CD118" s="165"/>
      <c r="CE118" s="165"/>
      <c r="CF118" s="165"/>
      <c r="CG118" s="165"/>
      <c r="CH118" s="165"/>
      <c r="CI118" s="165"/>
      <c r="CJ118" s="165"/>
      <c r="CK118" s="165"/>
      <c r="CL118" s="165"/>
      <c r="CM118" s="165"/>
      <c r="CN118" s="165"/>
      <c r="CO118" s="165"/>
      <c r="CP118" s="165"/>
      <c r="CQ118" s="288">
        <f>IF(ISNUMBER(CQ82),CQ82-CQ105+CQ108,"")</f>
      </c>
      <c r="CR118" s="288"/>
      <c r="CS118" s="288"/>
      <c r="CT118" s="288"/>
      <c r="CU118" s="132" t="s">
        <v>6</v>
      </c>
      <c r="CV118" s="132"/>
      <c r="CW118" s="132"/>
      <c r="CX118" s="132"/>
      <c r="CY118" s="179" t="s">
        <v>1</v>
      </c>
      <c r="CZ118" s="223">
        <f>IF(ISNUMBER(CQ118),CQ118*0.2641720523582,"")</f>
      </c>
      <c r="DA118" s="223"/>
      <c r="DB118" s="223"/>
      <c r="DC118" s="223"/>
      <c r="DD118" s="164" t="s">
        <v>7</v>
      </c>
      <c r="DE118" s="164"/>
      <c r="DF118" s="164"/>
      <c r="DG118" s="43"/>
      <c r="DH118" s="43"/>
      <c r="DI118" s="228" t="s">
        <v>133</v>
      </c>
      <c r="DJ118" s="228"/>
      <c r="DK118" s="228"/>
      <c r="DL118" s="228"/>
      <c r="DM118" s="228"/>
      <c r="DN118" s="228"/>
      <c r="DO118" s="228"/>
      <c r="DP118" s="228"/>
      <c r="DQ118" s="228"/>
      <c r="DR118" s="228"/>
      <c r="DS118" s="228"/>
      <c r="DT118" s="228"/>
      <c r="DU118" s="228"/>
      <c r="DV118" s="228"/>
      <c r="DW118" s="228"/>
      <c r="DX118" s="228"/>
      <c r="DY118" s="228"/>
      <c r="DZ118" s="228"/>
      <c r="EA118" s="228"/>
      <c r="EB118" s="228"/>
      <c r="EC118" s="228"/>
      <c r="ED118" s="228"/>
      <c r="EE118" s="228"/>
      <c r="EF118" s="228"/>
      <c r="EG118" s="228"/>
      <c r="EH118" s="228"/>
      <c r="EI118" s="228"/>
      <c r="EJ118" s="228"/>
      <c r="EK118" s="228"/>
      <c r="EL118" s="228"/>
      <c r="EM118" s="228"/>
      <c r="EN118" s="228"/>
      <c r="EO118" s="228"/>
      <c r="EP118" s="228"/>
      <c r="EQ118" s="43"/>
      <c r="ER118" s="19"/>
      <c r="ES118" s="200"/>
      <c r="ET118" s="200"/>
      <c r="EU118" s="200"/>
      <c r="EV118" s="200"/>
      <c r="EW118" s="200"/>
      <c r="EX118" s="180"/>
      <c r="EY118" s="200"/>
      <c r="EZ118" s="200"/>
      <c r="FA118" s="200"/>
      <c r="FB118" s="200"/>
      <c r="FC118" s="200"/>
      <c r="FD118" s="200"/>
      <c r="FE118" s="200"/>
      <c r="FF118" s="200"/>
      <c r="FG118" s="200"/>
      <c r="FH118" s="200"/>
      <c r="FI118" s="200"/>
      <c r="FJ118" s="200"/>
      <c r="FK118" s="200"/>
      <c r="FL118" s="200"/>
      <c r="FM118" s="200"/>
      <c r="FN118" s="200"/>
      <c r="FO118" s="200"/>
      <c r="FP118" s="200"/>
      <c r="FQ118" s="200"/>
      <c r="FR118" s="200"/>
      <c r="FS118" s="200"/>
      <c r="FT118" s="200"/>
      <c r="FU118" s="64"/>
      <c r="FV118" s="201"/>
      <c r="FW118" s="201"/>
      <c r="FX118" s="201"/>
      <c r="FY118" s="201"/>
      <c r="FZ118" s="201"/>
      <c r="GA118" s="19"/>
      <c r="GB118" s="45"/>
    </row>
    <row r="119" spans="1:184" ht="7.5" customHeight="1">
      <c r="A119" s="43"/>
      <c r="B119" s="19"/>
      <c r="C119" s="139"/>
      <c r="D119" s="140"/>
      <c r="E119" s="140"/>
      <c r="F119" s="140"/>
      <c r="G119" s="140"/>
      <c r="H119" s="140"/>
      <c r="I119" s="140"/>
      <c r="J119" s="140"/>
      <c r="K119" s="137"/>
      <c r="L119" s="137"/>
      <c r="M119" s="137"/>
      <c r="N119" s="137"/>
      <c r="O119" s="19"/>
      <c r="P119" s="251"/>
      <c r="Q119" s="252"/>
      <c r="R119" s="252"/>
      <c r="S119" s="79"/>
      <c r="T119" s="260"/>
      <c r="U119" s="261"/>
      <c r="V119" s="261"/>
      <c r="W119" s="79"/>
      <c r="X119" s="251"/>
      <c r="Y119" s="252"/>
      <c r="Z119" s="252"/>
      <c r="AA119" s="252"/>
      <c r="AB119" s="130">
        <f>IF(OR(OR(M119="DH",M119="DR"),AND(ISNUMBER(T119),T119=0)),(1-EXP(1)^(-0.04*0.001))/4.15,IF(T119&gt;0,(1-EXP(1)^(-0.04*T119))/4.15,IF(T119="","")))</f>
      </c>
      <c r="AC119" s="162">
        <f>IF(ISNUMBER(X119),X119*0.03527396194958,"")</f>
      </c>
      <c r="AD119" s="162"/>
      <c r="AE119" s="162"/>
      <c r="AF119" s="162"/>
      <c r="AG119" s="130">
        <f>IF(OR($BG$86&gt;0,$BP$89&gt;0),IF(AND(P119&gt;0,X119&gt;0,$BG$86&gt;0),(P119/100*X119*1000)/$BG$86,IF(AND(P119&gt;0,X119&gt;0,ISNUMBER($CQ$45)),(P119/100*X119*1000)/$CQ$45,"")))</f>
      </c>
      <c r="AH119" s="194">
        <f>IF(AND(ISNUMBER(AL119),$BG$86&gt;0),AL119,"")</f>
      </c>
      <c r="AI119" s="194"/>
      <c r="AJ119" s="194"/>
      <c r="AK119" s="194"/>
      <c r="AL119" s="130">
        <f>IF(AND(ISNUMBER($F$122),ISNUMBER(AB119),ISNUMBER(AG119)),$F$122*AB119*AG119*IF(K119="FL",1,IF(K119="PL",1.02,1.1)),"")</f>
      </c>
      <c r="AM119" s="137"/>
      <c r="AN119" s="137"/>
      <c r="AO119" s="137"/>
      <c r="AP119" s="137"/>
      <c r="AQ119" s="137"/>
      <c r="AR119" s="137"/>
      <c r="AS119" s="137"/>
      <c r="AT119" s="137"/>
      <c r="AU119" s="137"/>
      <c r="AV119" s="137"/>
      <c r="AW119" s="137"/>
      <c r="AX119" s="137"/>
      <c r="AY119" s="130">
        <f>IF(C119&gt;0,IF(AM119&gt;0,AM119,C119),"")</f>
      </c>
      <c r="AZ119" s="216"/>
      <c r="BA119" s="216"/>
      <c r="BB119" s="216"/>
      <c r="BC119" s="130">
        <f>IF(P119&gt;0,IF(AZ119&gt;0,AZ119,P119),"")</f>
      </c>
      <c r="BD119" s="159"/>
      <c r="BE119" s="159"/>
      <c r="BF119" s="159"/>
      <c r="BG119" s="280">
        <f>IF(BQ119="FL",1,IF(BQ119="PL",1.02,IF(BQ119="PE",1.1,1)))</f>
        <v>1.1</v>
      </c>
      <c r="BH119" s="217">
        <f>IF(AND(ISNUMBER($CQ$45),ISNUMBER($AP$122),ISNUMBER(BL119),ISNUMBER(BR119),BC119&gt;0),((BR119*($CQ$45+$EA$79))/($AP$122*BL119))/BC119/10/BG119,"")</f>
      </c>
      <c r="BI119" s="218"/>
      <c r="BJ119" s="218"/>
      <c r="BK119" s="218"/>
      <c r="BL119" s="279">
        <f>IF(OR(OR(AW119="DH",AW119="DR"),AND(ISNUMBER(BD119),BD119=0)),(1-EXP(1)^(-0.04*0.001))/4.15,IF(BD119&gt;0,(1-EXP(1)^(-0.04*BD119))/4.15,IF(BD119="",IF(T119=0,(1-EXP(1)^(-0.04*0.001))/4.15,(1-EXP(1)^(-0.04*T119))/4.15))))</f>
        <v>9.6383614483718E-06</v>
      </c>
      <c r="BM119" s="224">
        <f>IF(ISNUMBER(BH119),BH119*0.03527396194958,"")</f>
      </c>
      <c r="BN119" s="225"/>
      <c r="BO119" s="225"/>
      <c r="BP119" s="225"/>
      <c r="BQ119" s="130" t="str">
        <f>IF(AU119&gt;0,AU119,IF(OR(K119="FL",K119="PL"),K119,"PE"))</f>
        <v>PE</v>
      </c>
      <c r="BR119" s="194">
        <f>IF(AND(ISNUMBER(AL119),ISNUMBER($BR$122)),AL119*$BR$122/$AL$122,"")</f>
      </c>
      <c r="BS119" s="194"/>
      <c r="BT119" s="194"/>
      <c r="BU119" s="194"/>
      <c r="BV119" s="19"/>
      <c r="BW119" s="77"/>
      <c r="BX119" s="77"/>
      <c r="BY119" s="165"/>
      <c r="BZ119" s="165"/>
      <c r="CA119" s="165"/>
      <c r="CB119" s="165"/>
      <c r="CC119" s="165"/>
      <c r="CD119" s="165"/>
      <c r="CE119" s="165"/>
      <c r="CF119" s="165"/>
      <c r="CG119" s="165"/>
      <c r="CH119" s="165"/>
      <c r="CI119" s="165"/>
      <c r="CJ119" s="165"/>
      <c r="CK119" s="165"/>
      <c r="CL119" s="165"/>
      <c r="CM119" s="165"/>
      <c r="CN119" s="165"/>
      <c r="CO119" s="165"/>
      <c r="CP119" s="165"/>
      <c r="CQ119" s="288"/>
      <c r="CR119" s="288"/>
      <c r="CS119" s="288"/>
      <c r="CT119" s="288"/>
      <c r="CU119" s="132"/>
      <c r="CV119" s="132"/>
      <c r="CW119" s="132"/>
      <c r="CX119" s="132"/>
      <c r="CY119" s="212"/>
      <c r="CZ119" s="223"/>
      <c r="DA119" s="223"/>
      <c r="DB119" s="223"/>
      <c r="DC119" s="223"/>
      <c r="DD119" s="164"/>
      <c r="DE119" s="164"/>
      <c r="DF119" s="164"/>
      <c r="DG119" s="43"/>
      <c r="DH119" s="43"/>
      <c r="DI119" s="228"/>
      <c r="DJ119" s="228"/>
      <c r="DK119" s="228"/>
      <c r="DL119" s="228"/>
      <c r="DM119" s="228"/>
      <c r="DN119" s="228"/>
      <c r="DO119" s="228"/>
      <c r="DP119" s="228"/>
      <c r="DQ119" s="228"/>
      <c r="DR119" s="228"/>
      <c r="DS119" s="228"/>
      <c r="DT119" s="228"/>
      <c r="DU119" s="228"/>
      <c r="DV119" s="228"/>
      <c r="DW119" s="228"/>
      <c r="DX119" s="228"/>
      <c r="DY119" s="228"/>
      <c r="DZ119" s="228"/>
      <c r="EA119" s="228"/>
      <c r="EB119" s="228"/>
      <c r="EC119" s="228"/>
      <c r="ED119" s="228"/>
      <c r="EE119" s="228"/>
      <c r="EF119" s="228"/>
      <c r="EG119" s="228"/>
      <c r="EH119" s="228"/>
      <c r="EI119" s="228"/>
      <c r="EJ119" s="228"/>
      <c r="EK119" s="228"/>
      <c r="EL119" s="228"/>
      <c r="EM119" s="228"/>
      <c r="EN119" s="228"/>
      <c r="EO119" s="228"/>
      <c r="EP119" s="228"/>
      <c r="EQ119" s="43"/>
      <c r="ER119" s="67"/>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19"/>
      <c r="GB119" s="45"/>
    </row>
    <row r="120" spans="1:184" ht="7.5" customHeight="1">
      <c r="A120" s="43"/>
      <c r="B120" s="19"/>
      <c r="C120" s="141"/>
      <c r="D120" s="142"/>
      <c r="E120" s="142"/>
      <c r="F120" s="142"/>
      <c r="G120" s="142"/>
      <c r="H120" s="142"/>
      <c r="I120" s="142"/>
      <c r="J120" s="142"/>
      <c r="K120" s="137"/>
      <c r="L120" s="137"/>
      <c r="M120" s="137"/>
      <c r="N120" s="137"/>
      <c r="O120" s="19"/>
      <c r="P120" s="253"/>
      <c r="Q120" s="254"/>
      <c r="R120" s="254"/>
      <c r="S120" s="79"/>
      <c r="T120" s="262"/>
      <c r="U120" s="263"/>
      <c r="V120" s="263"/>
      <c r="W120" s="79"/>
      <c r="X120" s="253"/>
      <c r="Y120" s="254"/>
      <c r="Z120" s="254"/>
      <c r="AA120" s="254"/>
      <c r="AB120" s="130"/>
      <c r="AC120" s="162"/>
      <c r="AD120" s="162"/>
      <c r="AE120" s="162"/>
      <c r="AF120" s="162"/>
      <c r="AG120" s="130"/>
      <c r="AH120" s="194"/>
      <c r="AI120" s="194"/>
      <c r="AJ120" s="194"/>
      <c r="AK120" s="194"/>
      <c r="AL120" s="130"/>
      <c r="AM120" s="137"/>
      <c r="AN120" s="137"/>
      <c r="AO120" s="137"/>
      <c r="AP120" s="137"/>
      <c r="AQ120" s="137"/>
      <c r="AR120" s="137"/>
      <c r="AS120" s="137"/>
      <c r="AT120" s="137"/>
      <c r="AU120" s="137"/>
      <c r="AV120" s="137"/>
      <c r="AW120" s="137"/>
      <c r="AX120" s="137"/>
      <c r="AY120" s="130"/>
      <c r="AZ120" s="216"/>
      <c r="BA120" s="216"/>
      <c r="BB120" s="216"/>
      <c r="BC120" s="130"/>
      <c r="BD120" s="159"/>
      <c r="BE120" s="159"/>
      <c r="BF120" s="159"/>
      <c r="BG120" s="280"/>
      <c r="BH120" s="219"/>
      <c r="BI120" s="220"/>
      <c r="BJ120" s="220"/>
      <c r="BK120" s="220"/>
      <c r="BL120" s="279"/>
      <c r="BM120" s="226"/>
      <c r="BN120" s="227"/>
      <c r="BO120" s="227"/>
      <c r="BP120" s="227"/>
      <c r="BQ120" s="130"/>
      <c r="BR120" s="194"/>
      <c r="BS120" s="194"/>
      <c r="BT120" s="194"/>
      <c r="BU120" s="194"/>
      <c r="BV120" s="19"/>
      <c r="BW120" s="51" t="s">
        <v>132</v>
      </c>
      <c r="BX120" s="51"/>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43"/>
      <c r="DH120" s="43"/>
      <c r="DI120" s="228"/>
      <c r="DJ120" s="228"/>
      <c r="DK120" s="228"/>
      <c r="DL120" s="228"/>
      <c r="DM120" s="228"/>
      <c r="DN120" s="228"/>
      <c r="DO120" s="228"/>
      <c r="DP120" s="228"/>
      <c r="DQ120" s="228"/>
      <c r="DR120" s="228"/>
      <c r="DS120" s="228"/>
      <c r="DT120" s="228"/>
      <c r="DU120" s="228"/>
      <c r="DV120" s="228"/>
      <c r="DW120" s="228"/>
      <c r="DX120" s="228"/>
      <c r="DY120" s="228"/>
      <c r="DZ120" s="228"/>
      <c r="EA120" s="228"/>
      <c r="EB120" s="228"/>
      <c r="EC120" s="228"/>
      <c r="ED120" s="228"/>
      <c r="EE120" s="228"/>
      <c r="EF120" s="228"/>
      <c r="EG120" s="228"/>
      <c r="EH120" s="228"/>
      <c r="EI120" s="228"/>
      <c r="EJ120" s="228"/>
      <c r="EK120" s="228"/>
      <c r="EL120" s="228"/>
      <c r="EM120" s="228"/>
      <c r="EN120" s="228"/>
      <c r="EO120" s="228"/>
      <c r="EP120" s="228"/>
      <c r="EQ120" s="43"/>
      <c r="ER120" s="19"/>
      <c r="ES120" s="200"/>
      <c r="ET120" s="200"/>
      <c r="EU120" s="200"/>
      <c r="EV120" s="200"/>
      <c r="EW120" s="200"/>
      <c r="EX120" s="180"/>
      <c r="EY120" s="200"/>
      <c r="EZ120" s="200"/>
      <c r="FA120" s="200"/>
      <c r="FB120" s="200"/>
      <c r="FC120" s="200"/>
      <c r="FD120" s="200"/>
      <c r="FE120" s="200"/>
      <c r="FF120" s="200"/>
      <c r="FG120" s="200"/>
      <c r="FH120" s="200"/>
      <c r="FI120" s="200"/>
      <c r="FJ120" s="200"/>
      <c r="FK120" s="200"/>
      <c r="FL120" s="200"/>
      <c r="FM120" s="200"/>
      <c r="FN120" s="200"/>
      <c r="FO120" s="200"/>
      <c r="FP120" s="200"/>
      <c r="FQ120" s="200"/>
      <c r="FR120" s="200"/>
      <c r="FS120" s="200"/>
      <c r="FT120" s="200"/>
      <c r="FU120" s="64"/>
      <c r="FV120" s="201"/>
      <c r="FW120" s="201"/>
      <c r="FX120" s="201"/>
      <c r="FY120" s="201"/>
      <c r="FZ120" s="201"/>
      <c r="GA120" s="19"/>
      <c r="GB120" s="45"/>
    </row>
    <row r="121" spans="1:184" ht="7.5" customHeight="1">
      <c r="A121" s="43"/>
      <c r="B121" s="19"/>
      <c r="C121" s="19"/>
      <c r="D121" s="19"/>
      <c r="E121" s="19"/>
      <c r="F121" s="19"/>
      <c r="G121" s="19"/>
      <c r="H121" s="19"/>
      <c r="I121" s="19"/>
      <c r="J121" s="19"/>
      <c r="K121" s="19"/>
      <c r="L121" s="19"/>
      <c r="M121" s="19"/>
      <c r="N121" s="19"/>
      <c r="O121" s="19"/>
      <c r="P121" s="19"/>
      <c r="Q121" s="19"/>
      <c r="R121" s="19"/>
      <c r="S121" s="19"/>
      <c r="T121" s="19"/>
      <c r="U121" s="19"/>
      <c r="V121" s="19"/>
      <c r="W121" s="19"/>
      <c r="X121" s="66"/>
      <c r="Y121" s="66"/>
      <c r="Z121" s="66"/>
      <c r="AA121" s="66"/>
      <c r="AB121" s="19"/>
      <c r="AC121" s="81"/>
      <c r="AD121" s="81"/>
      <c r="AE121" s="81"/>
      <c r="AF121" s="81"/>
      <c r="AG121" s="19"/>
      <c r="AH121" s="66"/>
      <c r="AI121" s="66"/>
      <c r="AJ121" s="66"/>
      <c r="AK121" s="66"/>
      <c r="AL121" s="74"/>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66"/>
      <c r="BI121" s="66"/>
      <c r="BJ121" s="66"/>
      <c r="BK121" s="66"/>
      <c r="BL121" s="19"/>
      <c r="BM121" s="81"/>
      <c r="BN121" s="81"/>
      <c r="BO121" s="81"/>
      <c r="BP121" s="81"/>
      <c r="BQ121" s="19"/>
      <c r="BR121" s="66"/>
      <c r="BS121" s="66"/>
      <c r="BT121" s="66"/>
      <c r="BU121" s="66"/>
      <c r="BV121" s="19"/>
      <c r="BW121" s="51"/>
      <c r="BX121" s="51"/>
      <c r="BY121" s="19"/>
      <c r="BZ121" s="143" t="s">
        <v>110</v>
      </c>
      <c r="CA121" s="143"/>
      <c r="CB121" s="143"/>
      <c r="CC121" s="143"/>
      <c r="CD121" s="143"/>
      <c r="CE121" s="143"/>
      <c r="CF121" s="143"/>
      <c r="CG121" s="143"/>
      <c r="CH121" s="143"/>
      <c r="CI121" s="143"/>
      <c r="CJ121" s="143"/>
      <c r="CK121" s="143"/>
      <c r="CL121" s="143"/>
      <c r="CM121" s="143"/>
      <c r="CN121" s="143"/>
      <c r="CO121" s="143"/>
      <c r="CP121" s="143"/>
      <c r="CQ121" s="264">
        <f>IF(ISNUMBER(CY97),CY97,IF(ISNUMBER(CQ97),CQ97,IF(ISNUMBER(P33),P33,"")))</f>
        <v>1.061</v>
      </c>
      <c r="CR121" s="264"/>
      <c r="CS121" s="264"/>
      <c r="CT121" s="264"/>
      <c r="CU121" s="264"/>
      <c r="CV121" s="143" t="s">
        <v>109</v>
      </c>
      <c r="CW121" s="143"/>
      <c r="CX121" s="143"/>
      <c r="CY121" s="143"/>
      <c r="CZ121" s="143"/>
      <c r="DA121" s="221"/>
      <c r="DB121" s="221"/>
      <c r="DC121" s="221"/>
      <c r="DD121" s="221"/>
      <c r="DE121" s="221"/>
      <c r="DF121" s="19"/>
      <c r="DG121" s="43"/>
      <c r="DH121" s="43"/>
      <c r="DI121" s="228"/>
      <c r="DJ121" s="228"/>
      <c r="DK121" s="228"/>
      <c r="DL121" s="228"/>
      <c r="DM121" s="228"/>
      <c r="DN121" s="228"/>
      <c r="DO121" s="228"/>
      <c r="DP121" s="228"/>
      <c r="DQ121" s="228"/>
      <c r="DR121" s="228"/>
      <c r="DS121" s="228"/>
      <c r="DT121" s="228"/>
      <c r="DU121" s="228"/>
      <c r="DV121" s="228"/>
      <c r="DW121" s="228"/>
      <c r="DX121" s="228"/>
      <c r="DY121" s="228"/>
      <c r="DZ121" s="228"/>
      <c r="EA121" s="228"/>
      <c r="EB121" s="228"/>
      <c r="EC121" s="228"/>
      <c r="ED121" s="228"/>
      <c r="EE121" s="228"/>
      <c r="EF121" s="228"/>
      <c r="EG121" s="228"/>
      <c r="EH121" s="228"/>
      <c r="EI121" s="228"/>
      <c r="EJ121" s="228"/>
      <c r="EK121" s="228"/>
      <c r="EL121" s="228"/>
      <c r="EM121" s="228"/>
      <c r="EN121" s="228"/>
      <c r="EO121" s="228"/>
      <c r="EP121" s="228"/>
      <c r="EQ121" s="51"/>
      <c r="ER121" s="19"/>
      <c r="ES121" s="200"/>
      <c r="ET121" s="200"/>
      <c r="EU121" s="200"/>
      <c r="EV121" s="200"/>
      <c r="EW121" s="200"/>
      <c r="EX121" s="180"/>
      <c r="EY121" s="200"/>
      <c r="EZ121" s="200"/>
      <c r="FA121" s="200"/>
      <c r="FB121" s="200"/>
      <c r="FC121" s="200"/>
      <c r="FD121" s="200"/>
      <c r="FE121" s="200"/>
      <c r="FF121" s="200"/>
      <c r="FG121" s="200"/>
      <c r="FH121" s="200"/>
      <c r="FI121" s="200"/>
      <c r="FJ121" s="200"/>
      <c r="FK121" s="200"/>
      <c r="FL121" s="200"/>
      <c r="FM121" s="200"/>
      <c r="FN121" s="200"/>
      <c r="FO121" s="200"/>
      <c r="FP121" s="200"/>
      <c r="FQ121" s="200"/>
      <c r="FR121" s="200"/>
      <c r="FS121" s="200"/>
      <c r="FT121" s="200"/>
      <c r="FU121" s="64"/>
      <c r="FV121" s="201"/>
      <c r="FW121" s="201"/>
      <c r="FX121" s="201"/>
      <c r="FY121" s="201"/>
      <c r="FZ121" s="201"/>
      <c r="GA121" s="19"/>
      <c r="GB121" s="45"/>
    </row>
    <row r="122" spans="1:184" ht="7.5" customHeight="1">
      <c r="A122" s="43"/>
      <c r="B122" s="19"/>
      <c r="C122" s="169" t="s">
        <v>118</v>
      </c>
      <c r="D122" s="169"/>
      <c r="E122" s="169"/>
      <c r="F122" s="169">
        <f>IF(AA46&gt;0,1.65*0.000125^(AA46-1),"")</f>
        <v>0.953664145606624</v>
      </c>
      <c r="G122" s="169"/>
      <c r="H122" s="169"/>
      <c r="I122" s="70"/>
      <c r="J122" s="70"/>
      <c r="K122" s="70"/>
      <c r="L122" s="70"/>
      <c r="M122" s="70"/>
      <c r="N122" s="70"/>
      <c r="O122" s="19"/>
      <c r="P122" s="170" t="s">
        <v>15</v>
      </c>
      <c r="Q122" s="170"/>
      <c r="R122" s="170"/>
      <c r="S122" s="170"/>
      <c r="T122" s="170"/>
      <c r="U122" s="170"/>
      <c r="V122" s="170"/>
      <c r="W122" s="19"/>
      <c r="X122" s="151">
        <f>IF(SUM(X98:AA120)&gt;0,SUM(X98:AA120),"")</f>
        <v>248.05831</v>
      </c>
      <c r="Y122" s="151"/>
      <c r="Z122" s="151"/>
      <c r="AA122" s="151"/>
      <c r="AB122" s="19"/>
      <c r="AC122" s="162">
        <f>IF(ISNUMBER(X122),X122*0.03527396194958,"")</f>
        <v>8.74999938821712</v>
      </c>
      <c r="AD122" s="162"/>
      <c r="AE122" s="162"/>
      <c r="AF122" s="162"/>
      <c r="AG122" s="19"/>
      <c r="AH122" s="194">
        <f>IF(SUM(AH98:AK120)&gt;0,SUM(AH98:AK120),"")</f>
        <v>37.239629919454316</v>
      </c>
      <c r="AI122" s="194"/>
      <c r="AJ122" s="194"/>
      <c r="AK122" s="194"/>
      <c r="AL122" s="130">
        <f>IF(SUM(AL98:AL120)&gt;0,SUM(AL98:AL120),"")</f>
        <v>37.239629919454316</v>
      </c>
      <c r="AM122" s="169" t="s">
        <v>118</v>
      </c>
      <c r="AN122" s="169"/>
      <c r="AO122" s="169"/>
      <c r="AP122" s="169">
        <f>IF(ISNUMBER(CQ98),1.65*0.000125^(CQ98-1),"")</f>
        <v>0.953664145606624</v>
      </c>
      <c r="AQ122" s="169"/>
      <c r="AR122" s="169"/>
      <c r="AS122" s="70"/>
      <c r="AT122" s="70"/>
      <c r="AU122" s="70"/>
      <c r="AV122" s="70"/>
      <c r="AW122" s="70"/>
      <c r="AX122" s="71"/>
      <c r="AY122" s="19"/>
      <c r="AZ122" s="170" t="s">
        <v>15</v>
      </c>
      <c r="BA122" s="170"/>
      <c r="BB122" s="170"/>
      <c r="BC122" s="170"/>
      <c r="BD122" s="170"/>
      <c r="BE122" s="170"/>
      <c r="BF122" s="170"/>
      <c r="BG122" s="19"/>
      <c r="BH122" s="151">
        <f>IF(SUM(BH98:BK120)&gt;0,SUM(BH98:BK120),"")</f>
        <v>167.36563068123314</v>
      </c>
      <c r="BI122" s="151"/>
      <c r="BJ122" s="151"/>
      <c r="BK122" s="151"/>
      <c r="BL122" s="19"/>
      <c r="BM122" s="162">
        <f>IF(ISNUMBER(BH122),BH122*0.03527396194958,"")</f>
        <v>5.903648888317276</v>
      </c>
      <c r="BN122" s="162"/>
      <c r="BO122" s="162"/>
      <c r="BP122" s="162"/>
      <c r="BQ122" s="19"/>
      <c r="BR122" s="194">
        <f>IF(BP89&gt;0,BP89,IF(AND(BG86&gt;0,AH122&gt;0),AH122,""))</f>
        <v>62.42</v>
      </c>
      <c r="BS122" s="194"/>
      <c r="BT122" s="194"/>
      <c r="BU122" s="194"/>
      <c r="BV122" s="19"/>
      <c r="BW122" s="77">
        <f>IF(BW114="T",IF(BW116="T",BW124,IF(BW118="T",1,BW126)),1)</f>
        <v>1</v>
      </c>
      <c r="BX122" s="77"/>
      <c r="BY122" s="70"/>
      <c r="BZ122" s="143"/>
      <c r="CA122" s="143"/>
      <c r="CB122" s="143"/>
      <c r="CC122" s="143"/>
      <c r="CD122" s="143"/>
      <c r="CE122" s="143"/>
      <c r="CF122" s="143"/>
      <c r="CG122" s="143"/>
      <c r="CH122" s="143"/>
      <c r="CI122" s="143"/>
      <c r="CJ122" s="143"/>
      <c r="CK122" s="143"/>
      <c r="CL122" s="143"/>
      <c r="CM122" s="143"/>
      <c r="CN122" s="143"/>
      <c r="CO122" s="143"/>
      <c r="CP122" s="143"/>
      <c r="CQ122" s="264"/>
      <c r="CR122" s="264"/>
      <c r="CS122" s="264"/>
      <c r="CT122" s="264"/>
      <c r="CU122" s="264"/>
      <c r="CV122" s="143"/>
      <c r="CW122" s="143"/>
      <c r="CX122" s="143"/>
      <c r="CY122" s="143"/>
      <c r="CZ122" s="143"/>
      <c r="DA122" s="221"/>
      <c r="DB122" s="221"/>
      <c r="DC122" s="221"/>
      <c r="DD122" s="221"/>
      <c r="DE122" s="221"/>
      <c r="DF122" s="19"/>
      <c r="DG122" s="43"/>
      <c r="DH122" s="43"/>
      <c r="DI122" s="228"/>
      <c r="DJ122" s="228"/>
      <c r="DK122" s="228"/>
      <c r="DL122" s="228"/>
      <c r="DM122" s="228"/>
      <c r="DN122" s="228"/>
      <c r="DO122" s="228"/>
      <c r="DP122" s="228"/>
      <c r="DQ122" s="228"/>
      <c r="DR122" s="228"/>
      <c r="DS122" s="228"/>
      <c r="DT122" s="228"/>
      <c r="DU122" s="228"/>
      <c r="DV122" s="228"/>
      <c r="DW122" s="228"/>
      <c r="DX122" s="228"/>
      <c r="DY122" s="228"/>
      <c r="DZ122" s="228"/>
      <c r="EA122" s="228"/>
      <c r="EB122" s="228"/>
      <c r="EC122" s="228"/>
      <c r="ED122" s="228"/>
      <c r="EE122" s="228"/>
      <c r="EF122" s="228"/>
      <c r="EG122" s="228"/>
      <c r="EH122" s="228"/>
      <c r="EI122" s="228"/>
      <c r="EJ122" s="228"/>
      <c r="EK122" s="228"/>
      <c r="EL122" s="228"/>
      <c r="EM122" s="228"/>
      <c r="EN122" s="228"/>
      <c r="EO122" s="228"/>
      <c r="EP122" s="228"/>
      <c r="EQ122" s="51"/>
      <c r="ER122" s="67"/>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19"/>
      <c r="GB122" s="45"/>
    </row>
    <row r="123" spans="1:184" ht="7.5" customHeight="1">
      <c r="A123" s="43"/>
      <c r="B123" s="19"/>
      <c r="C123" s="169"/>
      <c r="D123" s="169"/>
      <c r="E123" s="169"/>
      <c r="F123" s="169"/>
      <c r="G123" s="169"/>
      <c r="H123" s="169"/>
      <c r="I123" s="70"/>
      <c r="J123" s="70"/>
      <c r="K123" s="70"/>
      <c r="L123" s="70"/>
      <c r="M123" s="70"/>
      <c r="N123" s="70"/>
      <c r="O123" s="19"/>
      <c r="P123" s="170"/>
      <c r="Q123" s="170"/>
      <c r="R123" s="170"/>
      <c r="S123" s="170"/>
      <c r="T123" s="170"/>
      <c r="U123" s="170"/>
      <c r="V123" s="170"/>
      <c r="W123" s="19"/>
      <c r="X123" s="151"/>
      <c r="Y123" s="151"/>
      <c r="Z123" s="151"/>
      <c r="AA123" s="151"/>
      <c r="AB123" s="19"/>
      <c r="AC123" s="162"/>
      <c r="AD123" s="162"/>
      <c r="AE123" s="162"/>
      <c r="AF123" s="162"/>
      <c r="AG123" s="19"/>
      <c r="AH123" s="194"/>
      <c r="AI123" s="194"/>
      <c r="AJ123" s="194"/>
      <c r="AK123" s="194"/>
      <c r="AL123" s="130"/>
      <c r="AM123" s="169"/>
      <c r="AN123" s="169"/>
      <c r="AO123" s="169"/>
      <c r="AP123" s="169"/>
      <c r="AQ123" s="169"/>
      <c r="AR123" s="169"/>
      <c r="AS123" s="70"/>
      <c r="AT123" s="70"/>
      <c r="AU123" s="70"/>
      <c r="AV123" s="70"/>
      <c r="AW123" s="70"/>
      <c r="AX123" s="71"/>
      <c r="AY123" s="19"/>
      <c r="AZ123" s="170"/>
      <c r="BA123" s="170"/>
      <c r="BB123" s="170"/>
      <c r="BC123" s="170"/>
      <c r="BD123" s="170"/>
      <c r="BE123" s="170"/>
      <c r="BF123" s="170"/>
      <c r="BG123" s="19"/>
      <c r="BH123" s="151"/>
      <c r="BI123" s="151"/>
      <c r="BJ123" s="151"/>
      <c r="BK123" s="151"/>
      <c r="BL123" s="19"/>
      <c r="BM123" s="162"/>
      <c r="BN123" s="162"/>
      <c r="BO123" s="162"/>
      <c r="BP123" s="162"/>
      <c r="BQ123" s="19"/>
      <c r="BR123" s="194"/>
      <c r="BS123" s="194"/>
      <c r="BT123" s="194"/>
      <c r="BU123" s="194"/>
      <c r="BV123" s="19"/>
      <c r="BW123" s="77"/>
      <c r="BX123" s="77"/>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43"/>
      <c r="DH123" s="43"/>
      <c r="DI123" s="228"/>
      <c r="DJ123" s="228"/>
      <c r="DK123" s="228"/>
      <c r="DL123" s="228"/>
      <c r="DM123" s="228"/>
      <c r="DN123" s="228"/>
      <c r="DO123" s="228"/>
      <c r="DP123" s="228"/>
      <c r="DQ123" s="228"/>
      <c r="DR123" s="228"/>
      <c r="DS123" s="228"/>
      <c r="DT123" s="228"/>
      <c r="DU123" s="228"/>
      <c r="DV123" s="228"/>
      <c r="DW123" s="228"/>
      <c r="DX123" s="228"/>
      <c r="DY123" s="228"/>
      <c r="DZ123" s="228"/>
      <c r="EA123" s="228"/>
      <c r="EB123" s="228"/>
      <c r="EC123" s="228"/>
      <c r="ED123" s="228"/>
      <c r="EE123" s="228"/>
      <c r="EF123" s="228"/>
      <c r="EG123" s="228"/>
      <c r="EH123" s="228"/>
      <c r="EI123" s="228"/>
      <c r="EJ123" s="228"/>
      <c r="EK123" s="228"/>
      <c r="EL123" s="228"/>
      <c r="EM123" s="228"/>
      <c r="EN123" s="228"/>
      <c r="EO123" s="228"/>
      <c r="EP123" s="228"/>
      <c r="EQ123" s="51"/>
      <c r="ER123" s="19"/>
      <c r="ES123" s="200"/>
      <c r="ET123" s="200"/>
      <c r="EU123" s="200"/>
      <c r="EV123" s="200"/>
      <c r="EW123" s="200"/>
      <c r="EX123" s="180"/>
      <c r="EY123" s="200"/>
      <c r="EZ123" s="200"/>
      <c r="FA123" s="200"/>
      <c r="FB123" s="200"/>
      <c r="FC123" s="200"/>
      <c r="FD123" s="200"/>
      <c r="FE123" s="200"/>
      <c r="FF123" s="200"/>
      <c r="FG123" s="200"/>
      <c r="FH123" s="200"/>
      <c r="FI123" s="200"/>
      <c r="FJ123" s="200"/>
      <c r="FK123" s="200"/>
      <c r="FL123" s="200"/>
      <c r="FM123" s="200"/>
      <c r="FN123" s="200"/>
      <c r="FO123" s="200"/>
      <c r="FP123" s="200"/>
      <c r="FQ123" s="200"/>
      <c r="FR123" s="200"/>
      <c r="FS123" s="200"/>
      <c r="FT123" s="200"/>
      <c r="FU123" s="64"/>
      <c r="FV123" s="201"/>
      <c r="FW123" s="201"/>
      <c r="FX123" s="201"/>
      <c r="FY123" s="201"/>
      <c r="FZ123" s="201"/>
      <c r="GA123" s="19"/>
      <c r="GB123" s="45"/>
    </row>
    <row r="124" spans="1:184" ht="7.5" customHeight="1">
      <c r="A124" s="43"/>
      <c r="B124" s="249" t="s">
        <v>261</v>
      </c>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c r="BI124" s="249"/>
      <c r="BJ124" s="249"/>
      <c r="BK124" s="249"/>
      <c r="BL124" s="249"/>
      <c r="BM124" s="249"/>
      <c r="BN124" s="249"/>
      <c r="BO124" s="249"/>
      <c r="BP124" s="249"/>
      <c r="BQ124" s="249"/>
      <c r="BR124" s="249"/>
      <c r="BS124" s="249"/>
      <c r="BT124" s="249"/>
      <c r="BU124" s="249"/>
      <c r="BV124" s="249"/>
      <c r="BW124" s="77" t="e">
        <f>((CQ82-CQ105+CQ108)/(CQ82-CQ105))</f>
        <v>#DIV/0!</v>
      </c>
      <c r="BX124" s="77"/>
      <c r="BY124" s="132" t="s">
        <v>117</v>
      </c>
      <c r="BZ124" s="132"/>
      <c r="CA124" s="132"/>
      <c r="CB124" s="132"/>
      <c r="CC124" s="132"/>
      <c r="CD124" s="132"/>
      <c r="CE124" s="151">
        <f>IF(AND(ISNUMBER(BW104),ISNUMBER(BW122)),BW104/BW122,"")</f>
      </c>
      <c r="CF124" s="151"/>
      <c r="CG124" s="151"/>
      <c r="CH124" s="151"/>
      <c r="CI124" s="132"/>
      <c r="CJ124" s="132" t="s">
        <v>108</v>
      </c>
      <c r="CK124" s="132"/>
      <c r="CL124" s="132"/>
      <c r="CM124" s="132"/>
      <c r="CN124" s="132"/>
      <c r="CO124" s="132"/>
      <c r="CP124" s="161">
        <f>IF(AND(ISNUMBER(DA121),ISNUMBER(CE124)),CE124/(DA121-1)/1000,IF(AND(ISNUMBER(CQ121),ISNUMBER(CE124)),CE124/(CQ121-1)/1000,""))</f>
      </c>
      <c r="CQ124" s="161"/>
      <c r="CR124" s="161"/>
      <c r="CS124" s="161"/>
      <c r="CT124" s="132"/>
      <c r="CU124" s="170" t="s">
        <v>93</v>
      </c>
      <c r="CV124" s="170"/>
      <c r="CW124" s="170"/>
      <c r="CX124" s="170"/>
      <c r="CY124" s="170"/>
      <c r="CZ124" s="151">
        <f>IF(AND(ISNUMBER(CZ118),ISNUMBER(AP79),ISNUMBER(CZ108),ISNUMBER(CZ111)),((AP79+(CZ111/16*3))/((CQ82+CZ108)/CQ82*CZ85))^0.6859*1.4922*1.97,IF(AND(ISNUMBER(CZ118),ISNUMBER(AP79),ISNUMBER(CZ108)),(AP79/((CQ82+CZ108)/CQ82*CZ85))^0.6859*1.4922*1.97,IF(AND(ISNUMBER(CZ118),ISNUMBER(AP79),ISNUMBER(CZ111)),((AP79+(CZ111/16*3))/(CZ85))^0.6859*1.4922*1.97,IF(AND(ISNUMBER(CZ118),ISNUMBER(AP79)),(AP79/CZ85)^0.6859*1.4922*1.97,""))))</f>
      </c>
      <c r="DA124" s="143"/>
      <c r="DB124" s="143"/>
      <c r="DC124" s="143"/>
      <c r="DD124" s="132" t="s">
        <v>12</v>
      </c>
      <c r="DE124" s="132"/>
      <c r="DF124" s="132"/>
      <c r="DG124" s="43"/>
      <c r="DH124" s="43"/>
      <c r="DI124" s="228"/>
      <c r="DJ124" s="228"/>
      <c r="DK124" s="228"/>
      <c r="DL124" s="228"/>
      <c r="DM124" s="228"/>
      <c r="DN124" s="228"/>
      <c r="DO124" s="228"/>
      <c r="DP124" s="228"/>
      <c r="DQ124" s="228"/>
      <c r="DR124" s="228"/>
      <c r="DS124" s="228"/>
      <c r="DT124" s="228"/>
      <c r="DU124" s="228"/>
      <c r="DV124" s="228"/>
      <c r="DW124" s="228"/>
      <c r="DX124" s="228"/>
      <c r="DY124" s="228"/>
      <c r="DZ124" s="228"/>
      <c r="EA124" s="228"/>
      <c r="EB124" s="228"/>
      <c r="EC124" s="228"/>
      <c r="ED124" s="228"/>
      <c r="EE124" s="228"/>
      <c r="EF124" s="228"/>
      <c r="EG124" s="228"/>
      <c r="EH124" s="228"/>
      <c r="EI124" s="228"/>
      <c r="EJ124" s="228"/>
      <c r="EK124" s="228"/>
      <c r="EL124" s="228"/>
      <c r="EM124" s="228"/>
      <c r="EN124" s="228"/>
      <c r="EO124" s="228"/>
      <c r="EP124" s="228"/>
      <c r="EQ124" s="51"/>
      <c r="ER124" s="19"/>
      <c r="ES124" s="200"/>
      <c r="ET124" s="200"/>
      <c r="EU124" s="200"/>
      <c r="EV124" s="200"/>
      <c r="EW124" s="200"/>
      <c r="EX124" s="180"/>
      <c r="EY124" s="200"/>
      <c r="EZ124" s="200"/>
      <c r="FA124" s="200"/>
      <c r="FB124" s="200"/>
      <c r="FC124" s="200"/>
      <c r="FD124" s="200"/>
      <c r="FE124" s="200"/>
      <c r="FF124" s="200"/>
      <c r="FG124" s="200"/>
      <c r="FH124" s="200"/>
      <c r="FI124" s="200"/>
      <c r="FJ124" s="200"/>
      <c r="FK124" s="200"/>
      <c r="FL124" s="200"/>
      <c r="FM124" s="200"/>
      <c r="FN124" s="200"/>
      <c r="FO124" s="200"/>
      <c r="FP124" s="200"/>
      <c r="FQ124" s="200"/>
      <c r="FR124" s="200"/>
      <c r="FS124" s="200"/>
      <c r="FT124" s="200"/>
      <c r="FU124" s="64"/>
      <c r="FV124" s="201"/>
      <c r="FW124" s="201"/>
      <c r="FX124" s="201"/>
      <c r="FY124" s="201"/>
      <c r="FZ124" s="201"/>
      <c r="GA124" s="19"/>
      <c r="GB124" s="45"/>
    </row>
    <row r="125" spans="1:184" ht="7.5" customHeight="1">
      <c r="A125" s="43"/>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49"/>
      <c r="BR125" s="249"/>
      <c r="BS125" s="249"/>
      <c r="BT125" s="249"/>
      <c r="BU125" s="249"/>
      <c r="BV125" s="249"/>
      <c r="BW125" s="77"/>
      <c r="BX125" s="77"/>
      <c r="BY125" s="132"/>
      <c r="BZ125" s="132"/>
      <c r="CA125" s="132"/>
      <c r="CB125" s="132"/>
      <c r="CC125" s="132"/>
      <c r="CD125" s="132"/>
      <c r="CE125" s="151"/>
      <c r="CF125" s="151"/>
      <c r="CG125" s="151"/>
      <c r="CH125" s="151"/>
      <c r="CI125" s="132"/>
      <c r="CJ125" s="132"/>
      <c r="CK125" s="132"/>
      <c r="CL125" s="132"/>
      <c r="CM125" s="132"/>
      <c r="CN125" s="132"/>
      <c r="CO125" s="132"/>
      <c r="CP125" s="161"/>
      <c r="CQ125" s="161"/>
      <c r="CR125" s="161"/>
      <c r="CS125" s="161"/>
      <c r="CT125" s="132"/>
      <c r="CU125" s="170"/>
      <c r="CV125" s="170"/>
      <c r="CW125" s="170"/>
      <c r="CX125" s="170"/>
      <c r="CY125" s="170"/>
      <c r="CZ125" s="143"/>
      <c r="DA125" s="143"/>
      <c r="DB125" s="143"/>
      <c r="DC125" s="143"/>
      <c r="DD125" s="132"/>
      <c r="DE125" s="132"/>
      <c r="DF125" s="132"/>
      <c r="DG125" s="43"/>
      <c r="DH125" s="43"/>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c r="EI125" s="228"/>
      <c r="EJ125" s="228"/>
      <c r="EK125" s="228"/>
      <c r="EL125" s="228"/>
      <c r="EM125" s="228"/>
      <c r="EN125" s="228"/>
      <c r="EO125" s="228"/>
      <c r="EP125" s="228"/>
      <c r="EQ125" s="51"/>
      <c r="ER125" s="67"/>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19"/>
      <c r="GB125" s="45"/>
    </row>
    <row r="126" spans="1:184" ht="7.5" customHeight="1">
      <c r="A126" s="43"/>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77" t="e">
        <f>((CQ82+CQ108)/CQ82)</f>
        <v>#DIV/0!</v>
      </c>
      <c r="BX126" s="77"/>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43"/>
      <c r="DH126" s="43"/>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51"/>
      <c r="ER126" s="19"/>
      <c r="ES126" s="200"/>
      <c r="ET126" s="200"/>
      <c r="EU126" s="200"/>
      <c r="EV126" s="200"/>
      <c r="EW126" s="200"/>
      <c r="EX126" s="180"/>
      <c r="EY126" s="200"/>
      <c r="EZ126" s="200"/>
      <c r="FA126" s="200"/>
      <c r="FB126" s="200"/>
      <c r="FC126" s="200"/>
      <c r="FD126" s="200"/>
      <c r="FE126" s="200"/>
      <c r="FF126" s="200"/>
      <c r="FG126" s="200"/>
      <c r="FH126" s="200"/>
      <c r="FI126" s="200"/>
      <c r="FJ126" s="200"/>
      <c r="FK126" s="200"/>
      <c r="FL126" s="200"/>
      <c r="FM126" s="200"/>
      <c r="FN126" s="200"/>
      <c r="FO126" s="200"/>
      <c r="FP126" s="200"/>
      <c r="FQ126" s="200"/>
      <c r="FR126" s="200"/>
      <c r="FS126" s="200"/>
      <c r="FT126" s="200"/>
      <c r="FU126" s="64"/>
      <c r="FV126" s="201"/>
      <c r="FW126" s="201"/>
      <c r="FX126" s="201"/>
      <c r="FY126" s="201"/>
      <c r="FZ126" s="201"/>
      <c r="GA126" s="19"/>
      <c r="GB126" s="45"/>
    </row>
    <row r="127" spans="1:184" ht="7.5" customHeight="1">
      <c r="A127" s="43"/>
      <c r="B127" s="158" t="s">
        <v>235</v>
      </c>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5" t="s">
        <v>91</v>
      </c>
      <c r="AK127" s="156"/>
      <c r="AL127" s="19"/>
      <c r="AM127" s="158" t="s">
        <v>236</v>
      </c>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5" t="s">
        <v>91</v>
      </c>
      <c r="BV127" s="156"/>
      <c r="BW127" s="77"/>
      <c r="BX127" s="77"/>
      <c r="BY127" s="158" t="s">
        <v>248</v>
      </c>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5" t="s">
        <v>91</v>
      </c>
      <c r="DF127" s="156"/>
      <c r="DG127" s="43"/>
      <c r="DH127" s="43"/>
      <c r="DI127" s="199" t="s">
        <v>378</v>
      </c>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51"/>
      <c r="ER127" s="74"/>
      <c r="ES127" s="200"/>
      <c r="ET127" s="200"/>
      <c r="EU127" s="200"/>
      <c r="EV127" s="200"/>
      <c r="EW127" s="200"/>
      <c r="EX127" s="180"/>
      <c r="EY127" s="200"/>
      <c r="EZ127" s="200"/>
      <c r="FA127" s="200"/>
      <c r="FB127" s="200"/>
      <c r="FC127" s="200"/>
      <c r="FD127" s="200"/>
      <c r="FE127" s="200"/>
      <c r="FF127" s="200"/>
      <c r="FG127" s="200"/>
      <c r="FH127" s="200"/>
      <c r="FI127" s="200"/>
      <c r="FJ127" s="200"/>
      <c r="FK127" s="200"/>
      <c r="FL127" s="200"/>
      <c r="FM127" s="200"/>
      <c r="FN127" s="200"/>
      <c r="FO127" s="200"/>
      <c r="FP127" s="200"/>
      <c r="FQ127" s="200"/>
      <c r="FR127" s="200"/>
      <c r="FS127" s="200"/>
      <c r="FT127" s="200"/>
      <c r="FU127" s="64"/>
      <c r="FV127" s="201"/>
      <c r="FW127" s="201"/>
      <c r="FX127" s="201"/>
      <c r="FY127" s="201"/>
      <c r="FZ127" s="201"/>
      <c r="GA127" s="19"/>
      <c r="GB127" s="45"/>
    </row>
    <row r="128" spans="1:184" ht="7.5" customHeight="1">
      <c r="A128" s="43"/>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6"/>
      <c r="AK128" s="156"/>
      <c r="AL128" s="19"/>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6"/>
      <c r="BV128" s="156"/>
      <c r="BW128" s="51"/>
      <c r="BX128" s="51"/>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6"/>
      <c r="DF128" s="156"/>
      <c r="DG128" s="43"/>
      <c r="DH128" s="43"/>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51"/>
      <c r="ER128" s="128"/>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19"/>
      <c r="GB128" s="45"/>
    </row>
    <row r="129" spans="1:184" ht="7.5" customHeight="1" thickBot="1">
      <c r="A129" s="43"/>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18"/>
      <c r="BR129" s="118"/>
      <c r="BS129" s="118"/>
      <c r="BT129" s="118"/>
      <c r="BU129" s="118"/>
      <c r="BV129" s="118"/>
      <c r="BW129" s="51"/>
      <c r="BX129" s="51"/>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43"/>
      <c r="DH129" s="43"/>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51"/>
      <c r="ER129" s="74"/>
      <c r="ES129" s="200"/>
      <c r="ET129" s="200"/>
      <c r="EU129" s="200"/>
      <c r="EV129" s="200"/>
      <c r="EW129" s="200"/>
      <c r="EX129" s="180"/>
      <c r="EY129" s="200"/>
      <c r="EZ129" s="200"/>
      <c r="FA129" s="200"/>
      <c r="FB129" s="200"/>
      <c r="FC129" s="200"/>
      <c r="FD129" s="200"/>
      <c r="FE129" s="200"/>
      <c r="FF129" s="200"/>
      <c r="FG129" s="200"/>
      <c r="FH129" s="200"/>
      <c r="FI129" s="200"/>
      <c r="FJ129" s="200"/>
      <c r="FK129" s="200"/>
      <c r="FL129" s="200"/>
      <c r="FM129" s="200"/>
      <c r="FN129" s="200"/>
      <c r="FO129" s="200"/>
      <c r="FP129" s="200"/>
      <c r="FQ129" s="200"/>
      <c r="FR129" s="200"/>
      <c r="FS129" s="200"/>
      <c r="FT129" s="200"/>
      <c r="FU129" s="64"/>
      <c r="FV129" s="201"/>
      <c r="FW129" s="201"/>
      <c r="FX129" s="201"/>
      <c r="FY129" s="201"/>
      <c r="FZ129" s="201"/>
      <c r="GA129" s="19"/>
      <c r="GB129" s="45"/>
    </row>
    <row r="130" spans="1:184" ht="7.5" customHeight="1">
      <c r="A130" s="43"/>
      <c r="B130" s="170" t="str">
        <f>IF(T139&gt;0,"Multi-Step Mash - First Step: ",IF(BY59="BIAB Variations have been made - See W.","BIAB Variation (Non Full-Volume Mash):  ","Pure BIAB (Full-Volume Mash):  "))</f>
        <v>Pure BIAB (Full-Volume Mash):  </v>
      </c>
      <c r="C130" s="170"/>
      <c r="D130" s="170"/>
      <c r="E130" s="170"/>
      <c r="F130" s="170"/>
      <c r="G130" s="170"/>
      <c r="H130" s="170"/>
      <c r="I130" s="170"/>
      <c r="J130" s="170"/>
      <c r="K130" s="170"/>
      <c r="L130" s="170"/>
      <c r="M130" s="170"/>
      <c r="N130" s="170"/>
      <c r="O130" s="170"/>
      <c r="P130" s="170"/>
      <c r="Q130" s="170"/>
      <c r="R130" s="170"/>
      <c r="S130" s="182"/>
      <c r="T130" s="260">
        <v>60</v>
      </c>
      <c r="U130" s="261"/>
      <c r="V130" s="261"/>
      <c r="W130" s="132" t="s">
        <v>31</v>
      </c>
      <c r="X130" s="132"/>
      <c r="Y130" s="132"/>
      <c r="Z130" s="132"/>
      <c r="AA130" s="132"/>
      <c r="AB130" s="260">
        <v>68.33333</v>
      </c>
      <c r="AC130" s="261"/>
      <c r="AD130" s="261"/>
      <c r="AE130" s="132" t="s">
        <v>32</v>
      </c>
      <c r="AF130" s="132"/>
      <c r="AG130" s="194">
        <f>IF(ISNUMBER(AB130),AB130*9/5+32,"")</f>
        <v>154.99999400000002</v>
      </c>
      <c r="AH130" s="194"/>
      <c r="AI130" s="194"/>
      <c r="AJ130" s="194"/>
      <c r="AK130" s="164" t="s">
        <v>33</v>
      </c>
      <c r="AL130" s="164"/>
      <c r="AM130" s="19"/>
      <c r="AN130" s="143" t="s">
        <v>150</v>
      </c>
      <c r="AO130" s="143"/>
      <c r="AP130" s="143"/>
      <c r="AQ130" s="143"/>
      <c r="AR130" s="143"/>
      <c r="AS130" s="143"/>
      <c r="AT130" s="143"/>
      <c r="AU130" s="143"/>
      <c r="AV130" s="143"/>
      <c r="AW130" s="119"/>
      <c r="AX130" s="143" t="s">
        <v>370</v>
      </c>
      <c r="AY130" s="143"/>
      <c r="AZ130" s="143"/>
      <c r="BA130" s="119"/>
      <c r="BB130" s="143" t="s">
        <v>151</v>
      </c>
      <c r="BC130" s="143"/>
      <c r="BD130" s="143"/>
      <c r="BE130" s="143"/>
      <c r="BF130" s="19"/>
      <c r="BG130" s="143" t="s">
        <v>17</v>
      </c>
      <c r="BH130" s="143"/>
      <c r="BI130" s="143"/>
      <c r="BJ130" s="19"/>
      <c r="BK130" s="143" t="s">
        <v>152</v>
      </c>
      <c r="BL130" s="143"/>
      <c r="BM130" s="143"/>
      <c r="BN130" s="143"/>
      <c r="BO130" s="143"/>
      <c r="BP130" s="143"/>
      <c r="BQ130" s="36"/>
      <c r="BR130" s="143" t="s">
        <v>340</v>
      </c>
      <c r="BS130" s="143"/>
      <c r="BT130" s="143"/>
      <c r="BU130" s="143"/>
      <c r="BV130" s="118"/>
      <c r="BW130" s="44"/>
      <c r="BX130" s="44"/>
      <c r="BY130" s="170" t="s">
        <v>314</v>
      </c>
      <c r="BZ130" s="170"/>
      <c r="CA130" s="170"/>
      <c r="CB130" s="170"/>
      <c r="CC130" s="170"/>
      <c r="CD130" s="170"/>
      <c r="CE130" s="170"/>
      <c r="CF130" s="170"/>
      <c r="CG130" s="170"/>
      <c r="CH130" s="170"/>
      <c r="CI130" s="170"/>
      <c r="CJ130" s="170"/>
      <c r="CK130" s="170"/>
      <c r="CL130" s="170"/>
      <c r="CM130" s="170"/>
      <c r="CN130" s="170"/>
      <c r="CO130" s="170"/>
      <c r="CP130" s="170"/>
      <c r="CQ130" s="143" t="s">
        <v>27</v>
      </c>
      <c r="CR130" s="143"/>
      <c r="CS130" s="143"/>
      <c r="CT130" s="143"/>
      <c r="CU130" s="143"/>
      <c r="CV130" s="143"/>
      <c r="CW130" s="143"/>
      <c r="CX130" s="70"/>
      <c r="CY130" s="143" t="s">
        <v>26</v>
      </c>
      <c r="CZ130" s="143"/>
      <c r="DA130" s="143"/>
      <c r="DB130" s="143"/>
      <c r="DC130" s="143"/>
      <c r="DD130" s="143"/>
      <c r="DE130" s="143"/>
      <c r="DF130" s="19"/>
      <c r="DG130" s="43"/>
      <c r="DH130" s="43"/>
      <c r="DI130" s="130" t="s">
        <v>134</v>
      </c>
      <c r="DJ130" s="143" t="s">
        <v>14</v>
      </c>
      <c r="DK130" s="143"/>
      <c r="DL130" s="143"/>
      <c r="DM130" s="143"/>
      <c r="DN130" s="143"/>
      <c r="DO130" s="143"/>
      <c r="DP130" s="143"/>
      <c r="DQ130" s="143"/>
      <c r="DR130" s="143"/>
      <c r="DS130" s="143"/>
      <c r="DT130" s="143"/>
      <c r="DU130" s="143"/>
      <c r="DV130" s="143" t="s">
        <v>80</v>
      </c>
      <c r="DW130" s="143"/>
      <c r="DX130" s="143"/>
      <c r="DY130" s="70"/>
      <c r="DZ130" s="19"/>
      <c r="EA130" s="143" t="s">
        <v>81</v>
      </c>
      <c r="EB130" s="143"/>
      <c r="EC130" s="143"/>
      <c r="ED130" s="19"/>
      <c r="EE130" s="143" t="s">
        <v>82</v>
      </c>
      <c r="EF130" s="143"/>
      <c r="EG130" s="143"/>
      <c r="EH130" s="143"/>
      <c r="EI130" s="143"/>
      <c r="EJ130" s="143" t="s">
        <v>82</v>
      </c>
      <c r="EK130" s="143"/>
      <c r="EL130" s="143"/>
      <c r="EM130" s="143"/>
      <c r="EN130" s="143"/>
      <c r="EO130" s="19"/>
      <c r="EP130" s="19"/>
      <c r="EQ130" s="51"/>
      <c r="ER130" s="74"/>
      <c r="ES130" s="200"/>
      <c r="ET130" s="200"/>
      <c r="EU130" s="200"/>
      <c r="EV130" s="200"/>
      <c r="EW130" s="200"/>
      <c r="EX130" s="180"/>
      <c r="EY130" s="200"/>
      <c r="EZ130" s="200"/>
      <c r="FA130" s="200"/>
      <c r="FB130" s="200"/>
      <c r="FC130" s="200"/>
      <c r="FD130" s="200"/>
      <c r="FE130" s="200"/>
      <c r="FF130" s="200"/>
      <c r="FG130" s="200"/>
      <c r="FH130" s="200"/>
      <c r="FI130" s="200"/>
      <c r="FJ130" s="200"/>
      <c r="FK130" s="200"/>
      <c r="FL130" s="200"/>
      <c r="FM130" s="200"/>
      <c r="FN130" s="200"/>
      <c r="FO130" s="200"/>
      <c r="FP130" s="200"/>
      <c r="FQ130" s="200"/>
      <c r="FR130" s="200"/>
      <c r="FS130" s="200"/>
      <c r="FT130" s="200"/>
      <c r="FU130" s="64"/>
      <c r="FV130" s="201"/>
      <c r="FW130" s="201"/>
      <c r="FX130" s="201"/>
      <c r="FY130" s="201"/>
      <c r="FZ130" s="201"/>
      <c r="GA130" s="19"/>
      <c r="GB130" s="45"/>
    </row>
    <row r="131" spans="1:184" ht="7.5" customHeight="1">
      <c r="A131" s="43"/>
      <c r="B131" s="170"/>
      <c r="C131" s="170"/>
      <c r="D131" s="170"/>
      <c r="E131" s="170"/>
      <c r="F131" s="170"/>
      <c r="G131" s="170"/>
      <c r="H131" s="170"/>
      <c r="I131" s="170"/>
      <c r="J131" s="170"/>
      <c r="K131" s="170"/>
      <c r="L131" s="170"/>
      <c r="M131" s="170"/>
      <c r="N131" s="170"/>
      <c r="O131" s="170"/>
      <c r="P131" s="170"/>
      <c r="Q131" s="170"/>
      <c r="R131" s="170"/>
      <c r="S131" s="182"/>
      <c r="T131" s="262"/>
      <c r="U131" s="263"/>
      <c r="V131" s="263"/>
      <c r="W131" s="132"/>
      <c r="X131" s="132"/>
      <c r="Y131" s="132"/>
      <c r="Z131" s="132"/>
      <c r="AA131" s="132"/>
      <c r="AB131" s="262"/>
      <c r="AC131" s="263"/>
      <c r="AD131" s="263"/>
      <c r="AE131" s="132"/>
      <c r="AF131" s="132"/>
      <c r="AG131" s="194"/>
      <c r="AH131" s="194"/>
      <c r="AI131" s="194"/>
      <c r="AJ131" s="194"/>
      <c r="AK131" s="164"/>
      <c r="AL131" s="164"/>
      <c r="AM131" s="19"/>
      <c r="AN131" s="143"/>
      <c r="AO131" s="143"/>
      <c r="AP131" s="143"/>
      <c r="AQ131" s="143"/>
      <c r="AR131" s="143"/>
      <c r="AS131" s="143"/>
      <c r="AT131" s="143"/>
      <c r="AU131" s="143"/>
      <c r="AV131" s="143"/>
      <c r="AW131" s="119"/>
      <c r="AX131" s="143"/>
      <c r="AY131" s="143"/>
      <c r="AZ131" s="143"/>
      <c r="BA131" s="119"/>
      <c r="BB131" s="143"/>
      <c r="BC131" s="143"/>
      <c r="BD131" s="143"/>
      <c r="BE131" s="143"/>
      <c r="BF131" s="19"/>
      <c r="BG131" s="143"/>
      <c r="BH131" s="143"/>
      <c r="BI131" s="143"/>
      <c r="BJ131" s="19"/>
      <c r="BK131" s="143"/>
      <c r="BL131" s="143"/>
      <c r="BM131" s="143"/>
      <c r="BN131" s="143"/>
      <c r="BO131" s="143"/>
      <c r="BP131" s="143"/>
      <c r="BQ131" s="36"/>
      <c r="BR131" s="143"/>
      <c r="BS131" s="143"/>
      <c r="BT131" s="143"/>
      <c r="BU131" s="143"/>
      <c r="BV131" s="118"/>
      <c r="BW131" s="44"/>
      <c r="BX131" s="44"/>
      <c r="BY131" s="170"/>
      <c r="BZ131" s="170"/>
      <c r="CA131" s="170"/>
      <c r="CB131" s="170"/>
      <c r="CC131" s="170"/>
      <c r="CD131" s="170"/>
      <c r="CE131" s="170"/>
      <c r="CF131" s="170"/>
      <c r="CG131" s="170"/>
      <c r="CH131" s="170"/>
      <c r="CI131" s="170"/>
      <c r="CJ131" s="170"/>
      <c r="CK131" s="170"/>
      <c r="CL131" s="170"/>
      <c r="CM131" s="170"/>
      <c r="CN131" s="170"/>
      <c r="CO131" s="170"/>
      <c r="CP131" s="170"/>
      <c r="CQ131" s="143"/>
      <c r="CR131" s="143"/>
      <c r="CS131" s="143"/>
      <c r="CT131" s="143"/>
      <c r="CU131" s="143"/>
      <c r="CV131" s="143"/>
      <c r="CW131" s="143"/>
      <c r="CX131" s="70"/>
      <c r="CY131" s="143"/>
      <c r="CZ131" s="143"/>
      <c r="DA131" s="143"/>
      <c r="DB131" s="143"/>
      <c r="DC131" s="143"/>
      <c r="DD131" s="143"/>
      <c r="DE131" s="143"/>
      <c r="DF131" s="19"/>
      <c r="DG131" s="43"/>
      <c r="DH131" s="43"/>
      <c r="DI131" s="130"/>
      <c r="DJ131" s="143"/>
      <c r="DK131" s="143"/>
      <c r="DL131" s="143"/>
      <c r="DM131" s="143"/>
      <c r="DN131" s="143"/>
      <c r="DO131" s="143"/>
      <c r="DP131" s="143"/>
      <c r="DQ131" s="143"/>
      <c r="DR131" s="143"/>
      <c r="DS131" s="143"/>
      <c r="DT131" s="143"/>
      <c r="DU131" s="143"/>
      <c r="DV131" s="143"/>
      <c r="DW131" s="143"/>
      <c r="DX131" s="143"/>
      <c r="DY131" s="70"/>
      <c r="DZ131" s="19"/>
      <c r="EA131" s="143"/>
      <c r="EB131" s="143"/>
      <c r="EC131" s="143"/>
      <c r="ED131" s="19"/>
      <c r="EE131" s="143"/>
      <c r="EF131" s="143"/>
      <c r="EG131" s="143"/>
      <c r="EH131" s="143"/>
      <c r="EI131" s="143"/>
      <c r="EJ131" s="143"/>
      <c r="EK131" s="143"/>
      <c r="EL131" s="143"/>
      <c r="EM131" s="143"/>
      <c r="EN131" s="143"/>
      <c r="EO131" s="19"/>
      <c r="EP131" s="19"/>
      <c r="EQ131" s="51"/>
      <c r="ER131" s="7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19"/>
      <c r="GB131" s="45"/>
    </row>
    <row r="132" spans="1:184" ht="7.5" customHeight="1">
      <c r="A132" s="43"/>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74">
        <f>IF(ISNUMBER(EK95),EK95/10,0.1)</f>
        <v>0.1</v>
      </c>
      <c r="AL132" s="19"/>
      <c r="AM132" s="19"/>
      <c r="AN132" s="19"/>
      <c r="AO132" s="19"/>
      <c r="AP132" s="19"/>
      <c r="AQ132" s="19"/>
      <c r="AR132" s="19"/>
      <c r="AS132" s="19"/>
      <c r="AT132" s="19"/>
      <c r="AU132" s="19"/>
      <c r="AV132" s="19"/>
      <c r="AW132" s="118"/>
      <c r="AX132" s="118"/>
      <c r="AY132" s="118"/>
      <c r="AZ132" s="118"/>
      <c r="BA132" s="118"/>
      <c r="BB132" s="19"/>
      <c r="BC132" s="19"/>
      <c r="BD132" s="19"/>
      <c r="BE132" s="19"/>
      <c r="BF132" s="19"/>
      <c r="BG132" s="19"/>
      <c r="BH132" s="19"/>
      <c r="BI132" s="19"/>
      <c r="BJ132" s="19"/>
      <c r="BK132" s="19"/>
      <c r="BL132" s="19"/>
      <c r="BM132" s="19"/>
      <c r="BN132" s="19"/>
      <c r="BO132" s="19"/>
      <c r="BP132" s="19"/>
      <c r="BQ132" s="36"/>
      <c r="BR132" s="118"/>
      <c r="BS132" s="118"/>
      <c r="BT132" s="118"/>
      <c r="BU132" s="118"/>
      <c r="BV132" s="118"/>
      <c r="BW132" s="44"/>
      <c r="BX132" s="44"/>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43"/>
      <c r="DH132" s="43"/>
      <c r="DI132" s="74"/>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88"/>
      <c r="ER132" s="74"/>
      <c r="ES132" s="200"/>
      <c r="ET132" s="200"/>
      <c r="EU132" s="200"/>
      <c r="EV132" s="200"/>
      <c r="EW132" s="200"/>
      <c r="EX132" s="180"/>
      <c r="EY132" s="200"/>
      <c r="EZ132" s="200"/>
      <c r="FA132" s="200"/>
      <c r="FB132" s="200"/>
      <c r="FC132" s="200"/>
      <c r="FD132" s="200"/>
      <c r="FE132" s="200"/>
      <c r="FF132" s="200"/>
      <c r="FG132" s="200"/>
      <c r="FH132" s="200"/>
      <c r="FI132" s="200"/>
      <c r="FJ132" s="200"/>
      <c r="FK132" s="200"/>
      <c r="FL132" s="200"/>
      <c r="FM132" s="200"/>
      <c r="FN132" s="200"/>
      <c r="FO132" s="200"/>
      <c r="FP132" s="200"/>
      <c r="FQ132" s="200"/>
      <c r="FR132" s="200"/>
      <c r="FS132" s="200"/>
      <c r="FT132" s="200"/>
      <c r="FU132" s="64"/>
      <c r="FV132" s="201"/>
      <c r="FW132" s="201"/>
      <c r="FX132" s="201"/>
      <c r="FY132" s="201"/>
      <c r="FZ132" s="201"/>
      <c r="GA132" s="19"/>
      <c r="GB132" s="45"/>
    </row>
    <row r="133" spans="1:184" ht="7.5" customHeight="1">
      <c r="A133" s="43"/>
      <c r="B133" s="19"/>
      <c r="C133" s="132" t="s">
        <v>120</v>
      </c>
      <c r="D133" s="132"/>
      <c r="E133" s="132"/>
      <c r="F133" s="132"/>
      <c r="G133" s="132"/>
      <c r="H133" s="132"/>
      <c r="I133" s="216"/>
      <c r="J133" s="216"/>
      <c r="K133" s="216"/>
      <c r="L133" s="132" t="s">
        <v>32</v>
      </c>
      <c r="M133" s="132"/>
      <c r="N133" s="194">
        <f>IF(ISNUMBER(I133),I133*9/5+32,"")</f>
      </c>
      <c r="O133" s="194"/>
      <c r="P133" s="194"/>
      <c r="Q133" s="194"/>
      <c r="R133" s="164" t="s">
        <v>33</v>
      </c>
      <c r="S133" s="164"/>
      <c r="T133" s="132" t="s">
        <v>149</v>
      </c>
      <c r="U133" s="132"/>
      <c r="V133" s="132"/>
      <c r="W133" s="132"/>
      <c r="X133" s="132"/>
      <c r="Y133" s="132"/>
      <c r="Z133" s="132"/>
      <c r="AA133" s="132"/>
      <c r="AB133" s="273">
        <f>IF(AND(ISNUMBER(CQ27),ISNUMBER(EA64),ISNUMBER(BH79),ISNUMBER(AB130),ISNUMBER(I133)),(AK132/((CQ27-EA64)/(BH79*BX79/100000)))*(AB130-I133)+AB130,IF(AND(ISNUMBER(CQ27),ISNUMBER(BH79),ISNUMBER(AB130),ISNUMBER(I133)),(AK132/(CQ27/(BH79*BX79/100000)))*(AB130-I133)+AB130,""))</f>
      </c>
      <c r="AC133" s="194"/>
      <c r="AD133" s="194"/>
      <c r="AE133" s="132" t="s">
        <v>32</v>
      </c>
      <c r="AF133" s="132"/>
      <c r="AG133" s="194">
        <f>IF(ISNUMBER(AB133),AB133*9/5+32,"")</f>
      </c>
      <c r="AH133" s="194"/>
      <c r="AI133" s="194"/>
      <c r="AJ133" s="194"/>
      <c r="AK133" s="164" t="s">
        <v>33</v>
      </c>
      <c r="AL133" s="164"/>
      <c r="AM133" s="19"/>
      <c r="AN133" s="157"/>
      <c r="AO133" s="157"/>
      <c r="AP133" s="157"/>
      <c r="AQ133" s="157"/>
      <c r="AR133" s="157"/>
      <c r="AS133" s="157"/>
      <c r="AT133" s="157"/>
      <c r="AU133" s="157"/>
      <c r="AV133" s="157"/>
      <c r="AW133" s="121"/>
      <c r="AX133" s="131"/>
      <c r="AY133" s="131"/>
      <c r="AZ133" s="131"/>
      <c r="BA133" s="121"/>
      <c r="BB133" s="157"/>
      <c r="BC133" s="160"/>
      <c r="BD133" s="160"/>
      <c r="BE133" s="160"/>
      <c r="BF133" s="19"/>
      <c r="BG133" s="159"/>
      <c r="BH133" s="159"/>
      <c r="BI133" s="159"/>
      <c r="BJ133" s="19"/>
      <c r="BK133" s="131"/>
      <c r="BL133" s="131"/>
      <c r="BM133" s="131"/>
      <c r="BN133" s="131"/>
      <c r="BO133" s="131"/>
      <c r="BP133" s="131"/>
      <c r="BQ133" s="36"/>
      <c r="BR133" s="150" t="str">
        <f>IF(AND(ISNUMBER(AX133),ISNUMBER($BG$86),ISNUMBER($CQ$45)),AX133*($CQ$45/$BG$86),"N/A")</f>
        <v>N/A</v>
      </c>
      <c r="BS133" s="150"/>
      <c r="BT133" s="150"/>
      <c r="BU133" s="150"/>
      <c r="BV133" s="118"/>
      <c r="BW133" s="44"/>
      <c r="BX133" s="44"/>
      <c r="BY133" s="165" t="s">
        <v>328</v>
      </c>
      <c r="BZ133" s="165"/>
      <c r="CA133" s="165"/>
      <c r="CB133" s="165"/>
      <c r="CC133" s="165"/>
      <c r="CD133" s="165"/>
      <c r="CE133" s="165"/>
      <c r="CF133" s="165"/>
      <c r="CG133" s="165"/>
      <c r="CH133" s="165"/>
      <c r="CI133" s="165"/>
      <c r="CJ133" s="165"/>
      <c r="CK133" s="165"/>
      <c r="CL133" s="165"/>
      <c r="CM133" s="165"/>
      <c r="CN133" s="165"/>
      <c r="CO133" s="165"/>
      <c r="CP133" s="165"/>
      <c r="CQ133" s="194">
        <f>IF(EK89&gt;0,EK89,IF(ISNUMBER(CQ95),((99.04545454545)-0.42727272727*(((CQ95-1)*1000)*(CQ36/(CQ36-EA73/0.9614)))+DY89+IF(AND(ISNUMBER(T148),AB148&gt;0),2,0)),""))</f>
        <v>77.63242808821693</v>
      </c>
      <c r="CR133" s="194"/>
      <c r="CS133" s="194"/>
      <c r="CT133" s="194"/>
      <c r="CU133" s="179" t="s">
        <v>9</v>
      </c>
      <c r="CV133" s="132"/>
      <c r="CW133" s="132"/>
      <c r="CX133" s="194">
        <f>IF(AND(ISNUMBER(CQ136),CY95&gt;0,ISNUMBER(CZ67)),(((CY95-1)*CZ67)/((CQ95-1)*CZ36))*CQ136,"")</f>
      </c>
      <c r="CY133" s="194"/>
      <c r="CZ133" s="194"/>
      <c r="DA133" s="194"/>
      <c r="DB133" s="194"/>
      <c r="DC133" s="179" t="s">
        <v>9</v>
      </c>
      <c r="DD133" s="132"/>
      <c r="DE133" s="132"/>
      <c r="DF133" s="19"/>
      <c r="DG133" s="43"/>
      <c r="DH133" s="43"/>
      <c r="DI133" s="130">
        <f>IF(ISNUMBER(AC55),IF(ISNUMBER(EK133),EK133*AC55,35.49*AC55),"")</f>
        <v>417.0074728109277</v>
      </c>
      <c r="DJ133" s="164" t="str">
        <f>IF(C55=0,"",C55)</f>
        <v>American - Pale 2-Row</v>
      </c>
      <c r="DK133" s="164"/>
      <c r="DL133" s="164"/>
      <c r="DM133" s="164"/>
      <c r="DN133" s="164"/>
      <c r="DO133" s="164"/>
      <c r="DP133" s="164"/>
      <c r="DQ133" s="164"/>
      <c r="DR133" s="164"/>
      <c r="DS133" s="164"/>
      <c r="DT133" s="164"/>
      <c r="DU133" s="164"/>
      <c r="DV133" s="204"/>
      <c r="DW133" s="204"/>
      <c r="DX133" s="204"/>
      <c r="DY133" s="179" t="s">
        <v>9</v>
      </c>
      <c r="DZ133" s="132"/>
      <c r="EA133" s="203"/>
      <c r="EB133" s="203"/>
      <c r="EC133" s="203"/>
      <c r="ED133" s="179" t="s">
        <v>9</v>
      </c>
      <c r="EE133" s="132"/>
      <c r="EF133" s="205">
        <f>IF(AND(DV133&gt;0,ISNUMBER(EA133)),DV133*(100-EA133)/100,"")</f>
      </c>
      <c r="EG133" s="205"/>
      <c r="EH133" s="205"/>
      <c r="EI133" s="179" t="s">
        <v>9</v>
      </c>
      <c r="EJ133" s="132"/>
      <c r="EK133" s="194">
        <f>IF(ISNUMBER(EF133),EF133*0.46214,"")</f>
      </c>
      <c r="EL133" s="194"/>
      <c r="EM133" s="194"/>
      <c r="EN133" s="164" t="s">
        <v>83</v>
      </c>
      <c r="EO133" s="164"/>
      <c r="EP133" s="164"/>
      <c r="EQ133" s="133">
        <f>IF(ISNUMBER(DI133),DI133/$DI$157*100,"")</f>
        <v>81.71070750605045</v>
      </c>
      <c r="ER133" s="130">
        <f>IF(AND(AL55="B",ISNUMBER(EQ133)),EQ133,"")</f>
      </c>
      <c r="ES133" s="200"/>
      <c r="ET133" s="200"/>
      <c r="EU133" s="200"/>
      <c r="EV133" s="200"/>
      <c r="EW133" s="200"/>
      <c r="EX133" s="180"/>
      <c r="EY133" s="200"/>
      <c r="EZ133" s="200"/>
      <c r="FA133" s="200"/>
      <c r="FB133" s="200"/>
      <c r="FC133" s="200"/>
      <c r="FD133" s="200"/>
      <c r="FE133" s="200"/>
      <c r="FF133" s="200"/>
      <c r="FG133" s="200"/>
      <c r="FH133" s="200"/>
      <c r="FI133" s="200"/>
      <c r="FJ133" s="200"/>
      <c r="FK133" s="200"/>
      <c r="FL133" s="200"/>
      <c r="FM133" s="200"/>
      <c r="FN133" s="200"/>
      <c r="FO133" s="200"/>
      <c r="FP133" s="200"/>
      <c r="FQ133" s="200"/>
      <c r="FR133" s="200"/>
      <c r="FS133" s="200"/>
      <c r="FT133" s="200"/>
      <c r="FU133" s="64"/>
      <c r="FV133" s="201"/>
      <c r="FW133" s="201"/>
      <c r="FX133" s="201"/>
      <c r="FY133" s="201"/>
      <c r="FZ133" s="201"/>
      <c r="GA133" s="19"/>
      <c r="GB133" s="45"/>
    </row>
    <row r="134" spans="1:184" ht="7.5" customHeight="1">
      <c r="A134" s="43"/>
      <c r="B134" s="19"/>
      <c r="C134" s="132"/>
      <c r="D134" s="132"/>
      <c r="E134" s="132"/>
      <c r="F134" s="132"/>
      <c r="G134" s="132"/>
      <c r="H134" s="132"/>
      <c r="I134" s="216"/>
      <c r="J134" s="216"/>
      <c r="K134" s="216"/>
      <c r="L134" s="132"/>
      <c r="M134" s="132"/>
      <c r="N134" s="194"/>
      <c r="O134" s="194"/>
      <c r="P134" s="194"/>
      <c r="Q134" s="194"/>
      <c r="R134" s="164"/>
      <c r="S134" s="164"/>
      <c r="T134" s="132"/>
      <c r="U134" s="132"/>
      <c r="V134" s="132"/>
      <c r="W134" s="132"/>
      <c r="X134" s="132"/>
      <c r="Y134" s="132"/>
      <c r="Z134" s="132"/>
      <c r="AA134" s="132"/>
      <c r="AB134" s="194"/>
      <c r="AC134" s="194"/>
      <c r="AD134" s="194"/>
      <c r="AE134" s="132"/>
      <c r="AF134" s="132"/>
      <c r="AG134" s="194"/>
      <c r="AH134" s="194"/>
      <c r="AI134" s="194"/>
      <c r="AJ134" s="194"/>
      <c r="AK134" s="164"/>
      <c r="AL134" s="164"/>
      <c r="AM134" s="19"/>
      <c r="AN134" s="157"/>
      <c r="AO134" s="157"/>
      <c r="AP134" s="157"/>
      <c r="AQ134" s="157"/>
      <c r="AR134" s="157"/>
      <c r="AS134" s="157"/>
      <c r="AT134" s="157"/>
      <c r="AU134" s="157"/>
      <c r="AV134" s="157"/>
      <c r="AW134" s="121"/>
      <c r="AX134" s="131"/>
      <c r="AY134" s="131"/>
      <c r="AZ134" s="131"/>
      <c r="BA134" s="121"/>
      <c r="BB134" s="160"/>
      <c r="BC134" s="160"/>
      <c r="BD134" s="160"/>
      <c r="BE134" s="160"/>
      <c r="BF134" s="19"/>
      <c r="BG134" s="159"/>
      <c r="BH134" s="159"/>
      <c r="BI134" s="159"/>
      <c r="BJ134" s="19"/>
      <c r="BK134" s="131"/>
      <c r="BL134" s="131"/>
      <c r="BM134" s="131"/>
      <c r="BN134" s="131"/>
      <c r="BO134" s="131"/>
      <c r="BP134" s="131"/>
      <c r="BQ134" s="36"/>
      <c r="BR134" s="150"/>
      <c r="BS134" s="150"/>
      <c r="BT134" s="150"/>
      <c r="BU134" s="150"/>
      <c r="BV134" s="118"/>
      <c r="BW134" s="44"/>
      <c r="BX134" s="44"/>
      <c r="BY134" s="165"/>
      <c r="BZ134" s="165"/>
      <c r="CA134" s="165"/>
      <c r="CB134" s="165"/>
      <c r="CC134" s="165"/>
      <c r="CD134" s="165"/>
      <c r="CE134" s="165"/>
      <c r="CF134" s="165"/>
      <c r="CG134" s="165"/>
      <c r="CH134" s="165"/>
      <c r="CI134" s="165"/>
      <c r="CJ134" s="165"/>
      <c r="CK134" s="165"/>
      <c r="CL134" s="165"/>
      <c r="CM134" s="165"/>
      <c r="CN134" s="165"/>
      <c r="CO134" s="165"/>
      <c r="CP134" s="165"/>
      <c r="CQ134" s="194"/>
      <c r="CR134" s="194"/>
      <c r="CS134" s="194"/>
      <c r="CT134" s="194"/>
      <c r="CU134" s="132"/>
      <c r="CV134" s="132"/>
      <c r="CW134" s="132"/>
      <c r="CX134" s="194"/>
      <c r="CY134" s="194"/>
      <c r="CZ134" s="194"/>
      <c r="DA134" s="194"/>
      <c r="DB134" s="194"/>
      <c r="DC134" s="132"/>
      <c r="DD134" s="132"/>
      <c r="DE134" s="132"/>
      <c r="DF134" s="19"/>
      <c r="DG134" s="43"/>
      <c r="DH134" s="43"/>
      <c r="DI134" s="130"/>
      <c r="DJ134" s="164"/>
      <c r="DK134" s="164"/>
      <c r="DL134" s="164"/>
      <c r="DM134" s="164"/>
      <c r="DN134" s="164"/>
      <c r="DO134" s="164"/>
      <c r="DP134" s="164"/>
      <c r="DQ134" s="164"/>
      <c r="DR134" s="164"/>
      <c r="DS134" s="164"/>
      <c r="DT134" s="164"/>
      <c r="DU134" s="164"/>
      <c r="DV134" s="204"/>
      <c r="DW134" s="204"/>
      <c r="DX134" s="204"/>
      <c r="DY134" s="132"/>
      <c r="DZ134" s="132"/>
      <c r="EA134" s="203"/>
      <c r="EB134" s="203"/>
      <c r="EC134" s="203"/>
      <c r="ED134" s="132"/>
      <c r="EE134" s="132"/>
      <c r="EF134" s="205"/>
      <c r="EG134" s="205"/>
      <c r="EH134" s="205"/>
      <c r="EI134" s="132"/>
      <c r="EJ134" s="132"/>
      <c r="EK134" s="194"/>
      <c r="EL134" s="194"/>
      <c r="EM134" s="194"/>
      <c r="EN134" s="164"/>
      <c r="EO134" s="164"/>
      <c r="EP134" s="164"/>
      <c r="EQ134" s="133"/>
      <c r="ER134" s="130"/>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19"/>
      <c r="GB134" s="45"/>
    </row>
    <row r="135" spans="1:184" ht="7.5" customHeight="1">
      <c r="A135" s="43"/>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18"/>
      <c r="AX135" s="118"/>
      <c r="AY135" s="118"/>
      <c r="AZ135" s="118"/>
      <c r="BA135" s="118"/>
      <c r="BB135" s="19"/>
      <c r="BC135" s="19"/>
      <c r="BD135" s="19"/>
      <c r="BE135" s="19"/>
      <c r="BF135" s="19"/>
      <c r="BG135" s="79"/>
      <c r="BH135" s="79"/>
      <c r="BI135" s="79"/>
      <c r="BJ135" s="19"/>
      <c r="BK135" s="19"/>
      <c r="BL135" s="19"/>
      <c r="BM135" s="19"/>
      <c r="BN135" s="19"/>
      <c r="BO135" s="19"/>
      <c r="BP135" s="19"/>
      <c r="BQ135" s="36"/>
      <c r="BR135" s="119"/>
      <c r="BS135" s="119"/>
      <c r="BT135" s="119"/>
      <c r="BU135" s="119"/>
      <c r="BV135" s="118"/>
      <c r="BW135" s="89"/>
      <c r="BX135" s="89"/>
      <c r="BY135" s="19"/>
      <c r="BZ135" s="19"/>
      <c r="CA135" s="19"/>
      <c r="CB135" s="19"/>
      <c r="CC135" s="19"/>
      <c r="CD135" s="19"/>
      <c r="CE135" s="19"/>
      <c r="CF135" s="19"/>
      <c r="CG135" s="19"/>
      <c r="CH135" s="19"/>
      <c r="CI135" s="19"/>
      <c r="CJ135" s="19"/>
      <c r="CK135" s="19"/>
      <c r="CL135" s="19"/>
      <c r="CM135" s="19"/>
      <c r="CN135" s="19"/>
      <c r="CO135" s="19"/>
      <c r="CP135" s="19"/>
      <c r="CQ135" s="66"/>
      <c r="CR135" s="66"/>
      <c r="CS135" s="66"/>
      <c r="CT135" s="66"/>
      <c r="CU135" s="19"/>
      <c r="CV135" s="19"/>
      <c r="CW135" s="19"/>
      <c r="CX135" s="19"/>
      <c r="CY135" s="19"/>
      <c r="CZ135" s="19"/>
      <c r="DA135" s="19"/>
      <c r="DB135" s="19"/>
      <c r="DC135" s="19"/>
      <c r="DD135" s="19"/>
      <c r="DE135" s="19"/>
      <c r="DF135" s="19"/>
      <c r="DG135" s="43"/>
      <c r="DH135" s="43"/>
      <c r="DI135" s="74"/>
      <c r="DJ135" s="19"/>
      <c r="DK135" s="19"/>
      <c r="DL135" s="19"/>
      <c r="DM135" s="19"/>
      <c r="DN135" s="19"/>
      <c r="DO135" s="19"/>
      <c r="DP135" s="19"/>
      <c r="DQ135" s="19"/>
      <c r="DR135" s="19"/>
      <c r="DS135" s="19"/>
      <c r="DT135" s="19"/>
      <c r="DU135" s="19"/>
      <c r="DV135" s="66"/>
      <c r="DW135" s="66"/>
      <c r="DX135" s="66"/>
      <c r="DY135" s="19"/>
      <c r="DZ135" s="19"/>
      <c r="EA135" s="66"/>
      <c r="EB135" s="66"/>
      <c r="EC135" s="66"/>
      <c r="ED135" s="19"/>
      <c r="EE135" s="19"/>
      <c r="EF135" s="66"/>
      <c r="EG135" s="66"/>
      <c r="EH135" s="66"/>
      <c r="EI135" s="19"/>
      <c r="EJ135" s="19"/>
      <c r="EK135" s="66"/>
      <c r="EL135" s="66"/>
      <c r="EM135" s="66"/>
      <c r="EN135" s="19"/>
      <c r="EO135" s="19"/>
      <c r="EP135" s="19"/>
      <c r="EQ135" s="51"/>
      <c r="ER135" s="74"/>
      <c r="ES135" s="200"/>
      <c r="ET135" s="200"/>
      <c r="EU135" s="200"/>
      <c r="EV135" s="200"/>
      <c r="EW135" s="200"/>
      <c r="EX135" s="180"/>
      <c r="EY135" s="200"/>
      <c r="EZ135" s="200"/>
      <c r="FA135" s="200"/>
      <c r="FB135" s="200"/>
      <c r="FC135" s="200"/>
      <c r="FD135" s="200"/>
      <c r="FE135" s="200"/>
      <c r="FF135" s="200"/>
      <c r="FG135" s="200"/>
      <c r="FH135" s="200"/>
      <c r="FI135" s="200"/>
      <c r="FJ135" s="200"/>
      <c r="FK135" s="200"/>
      <c r="FL135" s="200"/>
      <c r="FM135" s="200"/>
      <c r="FN135" s="200"/>
      <c r="FO135" s="200"/>
      <c r="FP135" s="200"/>
      <c r="FQ135" s="200"/>
      <c r="FR135" s="200"/>
      <c r="FS135" s="200"/>
      <c r="FT135" s="200"/>
      <c r="FU135" s="64"/>
      <c r="FV135" s="201"/>
      <c r="FW135" s="201"/>
      <c r="FX135" s="201"/>
      <c r="FY135" s="201"/>
      <c r="FZ135" s="201"/>
      <c r="GA135" s="19"/>
      <c r="GB135" s="45"/>
    </row>
    <row r="136" spans="1:184" ht="7.5" customHeight="1">
      <c r="A136" s="43"/>
      <c r="B136" s="19"/>
      <c r="C136" s="274" t="s">
        <v>147</v>
      </c>
      <c r="D136" s="274"/>
      <c r="E136" s="274"/>
      <c r="F136" s="274"/>
      <c r="G136" s="274"/>
      <c r="H136" s="274"/>
      <c r="I136" s="274"/>
      <c r="J136" s="274"/>
      <c r="K136" s="274"/>
      <c r="L136" s="274"/>
      <c r="M136" s="274"/>
      <c r="N136" s="274"/>
      <c r="O136" s="274"/>
      <c r="P136" s="274"/>
      <c r="Q136" s="274"/>
      <c r="R136" s="274"/>
      <c r="S136" s="118"/>
      <c r="T136" s="132" t="s">
        <v>341</v>
      </c>
      <c r="U136" s="132"/>
      <c r="V136" s="132"/>
      <c r="W136" s="132"/>
      <c r="X136" s="132"/>
      <c r="Y136" s="132"/>
      <c r="Z136" s="132"/>
      <c r="AA136" s="166" t="s">
        <v>385</v>
      </c>
      <c r="AB136" s="166"/>
      <c r="AC136" s="166"/>
      <c r="AD136" s="166"/>
      <c r="AE136" s="166"/>
      <c r="AF136" s="166"/>
      <c r="AG136" s="166"/>
      <c r="AH136" s="166"/>
      <c r="AI136" s="166"/>
      <c r="AJ136" s="166"/>
      <c r="AK136" s="166"/>
      <c r="AL136" s="19"/>
      <c r="AM136" s="19"/>
      <c r="AN136" s="157"/>
      <c r="AO136" s="157"/>
      <c r="AP136" s="157"/>
      <c r="AQ136" s="157"/>
      <c r="AR136" s="157"/>
      <c r="AS136" s="157"/>
      <c r="AT136" s="157"/>
      <c r="AU136" s="157"/>
      <c r="AV136" s="157"/>
      <c r="AW136" s="121"/>
      <c r="AX136" s="131"/>
      <c r="AY136" s="131"/>
      <c r="AZ136" s="131"/>
      <c r="BA136" s="121"/>
      <c r="BB136" s="157"/>
      <c r="BC136" s="160"/>
      <c r="BD136" s="160"/>
      <c r="BE136" s="160"/>
      <c r="BF136" s="19"/>
      <c r="BG136" s="159"/>
      <c r="BH136" s="159"/>
      <c r="BI136" s="159"/>
      <c r="BJ136" s="19"/>
      <c r="BK136" s="131"/>
      <c r="BL136" s="131"/>
      <c r="BM136" s="131"/>
      <c r="BN136" s="131"/>
      <c r="BO136" s="131"/>
      <c r="BP136" s="131"/>
      <c r="BQ136" s="36"/>
      <c r="BR136" s="150" t="str">
        <f>IF(AND(ISNUMBER(AX136),ISNUMBER($BG$86),ISNUMBER($CQ$45)),AX136*($CQ$45/$BG$86),"N/A")</f>
        <v>N/A</v>
      </c>
      <c r="BS136" s="150"/>
      <c r="BT136" s="150"/>
      <c r="BU136" s="150"/>
      <c r="BV136" s="118"/>
      <c r="BW136" s="89"/>
      <c r="BX136" s="89"/>
      <c r="BY136" s="165" t="s">
        <v>332</v>
      </c>
      <c r="BZ136" s="165"/>
      <c r="CA136" s="165"/>
      <c r="CB136" s="165"/>
      <c r="CC136" s="165"/>
      <c r="CD136" s="165"/>
      <c r="CE136" s="165"/>
      <c r="CF136" s="165"/>
      <c r="CG136" s="165"/>
      <c r="CH136" s="165"/>
      <c r="CI136" s="165"/>
      <c r="CJ136" s="165"/>
      <c r="CK136" s="165"/>
      <c r="CL136" s="165"/>
      <c r="CM136" s="165"/>
      <c r="CN136" s="165"/>
      <c r="CO136" s="165"/>
      <c r="CP136" s="165"/>
      <c r="CQ136" s="194">
        <f>CQ133</f>
        <v>77.63242808821693</v>
      </c>
      <c r="CR136" s="194"/>
      <c r="CS136" s="194"/>
      <c r="CT136" s="194"/>
      <c r="CU136" s="179" t="s">
        <v>9</v>
      </c>
      <c r="CV136" s="132"/>
      <c r="CW136" s="132"/>
      <c r="CX136" s="194">
        <f>IF(AND(ISNUMBER(CQ98),ISNUMBER(CZ45),CY98&gt;0,ISNUMBER(CZ85)),(((CY98-1)*CZ85)/((CQ98-1)*CZ45))*CQ136,"")</f>
      </c>
      <c r="CY136" s="194"/>
      <c r="CZ136" s="194"/>
      <c r="DA136" s="194"/>
      <c r="DB136" s="194"/>
      <c r="DC136" s="179" t="s">
        <v>9</v>
      </c>
      <c r="DD136" s="132"/>
      <c r="DE136" s="132"/>
      <c r="DF136" s="19"/>
      <c r="DG136" s="43"/>
      <c r="DH136" s="43"/>
      <c r="DI136" s="130">
        <f>IF(ISNUMBER(AC58),IF(ISNUMBER(EK136),EK136*AC58,35.49*AC58),"")</f>
        <v>40.103701713505124</v>
      </c>
      <c r="DJ136" s="164" t="str">
        <f>IF(C58=0,"",C58)</f>
        <v>Am - Munich - Light 10L</v>
      </c>
      <c r="DK136" s="164"/>
      <c r="DL136" s="164"/>
      <c r="DM136" s="164"/>
      <c r="DN136" s="164"/>
      <c r="DO136" s="164"/>
      <c r="DP136" s="164"/>
      <c r="DQ136" s="164"/>
      <c r="DR136" s="164"/>
      <c r="DS136" s="164"/>
      <c r="DT136" s="164"/>
      <c r="DU136" s="164"/>
      <c r="DV136" s="204"/>
      <c r="DW136" s="204"/>
      <c r="DX136" s="204"/>
      <c r="DY136" s="179" t="s">
        <v>9</v>
      </c>
      <c r="DZ136" s="132"/>
      <c r="EA136" s="203"/>
      <c r="EB136" s="203"/>
      <c r="EC136" s="203"/>
      <c r="ED136" s="179" t="s">
        <v>9</v>
      </c>
      <c r="EE136" s="132"/>
      <c r="EF136" s="205">
        <f>IF(AND(DV136&gt;0,ISNUMBER(EA136)),DV136*(100-EA136)/100,"")</f>
      </c>
      <c r="EG136" s="205"/>
      <c r="EH136" s="205"/>
      <c r="EI136" s="179" t="s">
        <v>9</v>
      </c>
      <c r="EJ136" s="132"/>
      <c r="EK136" s="194">
        <f>IF(ISNUMBER(EF136),EF136*0.46214,"")</f>
      </c>
      <c r="EL136" s="194"/>
      <c r="EM136" s="194"/>
      <c r="EN136" s="164" t="s">
        <v>83</v>
      </c>
      <c r="EO136" s="164"/>
      <c r="EP136" s="164"/>
      <c r="EQ136" s="133">
        <f>IF(ISNUMBER(DI136),DI136/$DI$157*100,"")</f>
        <v>7.858136974221244</v>
      </c>
      <c r="ER136" s="130">
        <f>IF(AND(AL58="B",ISNUMBER(EQ136)),EQ136,"")</f>
      </c>
      <c r="ES136" s="200"/>
      <c r="ET136" s="200"/>
      <c r="EU136" s="200"/>
      <c r="EV136" s="200"/>
      <c r="EW136" s="200"/>
      <c r="EX136" s="180"/>
      <c r="EY136" s="200"/>
      <c r="EZ136" s="200"/>
      <c r="FA136" s="200"/>
      <c r="FB136" s="200"/>
      <c r="FC136" s="200"/>
      <c r="FD136" s="200"/>
      <c r="FE136" s="200"/>
      <c r="FF136" s="200"/>
      <c r="FG136" s="200"/>
      <c r="FH136" s="200"/>
      <c r="FI136" s="200"/>
      <c r="FJ136" s="200"/>
      <c r="FK136" s="200"/>
      <c r="FL136" s="200"/>
      <c r="FM136" s="200"/>
      <c r="FN136" s="200"/>
      <c r="FO136" s="200"/>
      <c r="FP136" s="200"/>
      <c r="FQ136" s="200"/>
      <c r="FR136" s="200"/>
      <c r="FS136" s="200"/>
      <c r="FT136" s="200"/>
      <c r="FU136" s="64"/>
      <c r="FV136" s="201"/>
      <c r="FW136" s="201"/>
      <c r="FX136" s="201"/>
      <c r="FY136" s="201"/>
      <c r="FZ136" s="201"/>
      <c r="GA136" s="19"/>
      <c r="GB136" s="45"/>
    </row>
    <row r="137" spans="1:184" ht="7.5" customHeight="1">
      <c r="A137" s="43"/>
      <c r="B137" s="19"/>
      <c r="C137" s="274"/>
      <c r="D137" s="274"/>
      <c r="E137" s="274"/>
      <c r="F137" s="274"/>
      <c r="G137" s="274"/>
      <c r="H137" s="274"/>
      <c r="I137" s="274"/>
      <c r="J137" s="274"/>
      <c r="K137" s="274"/>
      <c r="L137" s="274"/>
      <c r="M137" s="274"/>
      <c r="N137" s="274"/>
      <c r="O137" s="274"/>
      <c r="P137" s="274"/>
      <c r="Q137" s="274"/>
      <c r="R137" s="274"/>
      <c r="S137" s="118"/>
      <c r="T137" s="132"/>
      <c r="U137" s="132"/>
      <c r="V137" s="132"/>
      <c r="W137" s="132"/>
      <c r="X137" s="132"/>
      <c r="Y137" s="132"/>
      <c r="Z137" s="132"/>
      <c r="AA137" s="166"/>
      <c r="AB137" s="166"/>
      <c r="AC137" s="166"/>
      <c r="AD137" s="166"/>
      <c r="AE137" s="166"/>
      <c r="AF137" s="166"/>
      <c r="AG137" s="166"/>
      <c r="AH137" s="166"/>
      <c r="AI137" s="166"/>
      <c r="AJ137" s="166"/>
      <c r="AK137" s="166"/>
      <c r="AL137" s="19"/>
      <c r="AM137" s="19"/>
      <c r="AN137" s="157"/>
      <c r="AO137" s="157"/>
      <c r="AP137" s="157"/>
      <c r="AQ137" s="157"/>
      <c r="AR137" s="157"/>
      <c r="AS137" s="157"/>
      <c r="AT137" s="157"/>
      <c r="AU137" s="157"/>
      <c r="AV137" s="157"/>
      <c r="AW137" s="121"/>
      <c r="AX137" s="131"/>
      <c r="AY137" s="131"/>
      <c r="AZ137" s="131"/>
      <c r="BA137" s="121"/>
      <c r="BB137" s="160"/>
      <c r="BC137" s="160"/>
      <c r="BD137" s="160"/>
      <c r="BE137" s="160"/>
      <c r="BF137" s="19"/>
      <c r="BG137" s="159"/>
      <c r="BH137" s="159"/>
      <c r="BI137" s="159"/>
      <c r="BJ137" s="19"/>
      <c r="BK137" s="131"/>
      <c r="BL137" s="131"/>
      <c r="BM137" s="131"/>
      <c r="BN137" s="131"/>
      <c r="BO137" s="131"/>
      <c r="BP137" s="131"/>
      <c r="BQ137" s="36"/>
      <c r="BR137" s="150"/>
      <c r="BS137" s="150"/>
      <c r="BT137" s="150"/>
      <c r="BU137" s="150"/>
      <c r="BV137" s="118"/>
      <c r="BW137" s="89"/>
      <c r="BX137" s="89"/>
      <c r="BY137" s="165"/>
      <c r="BZ137" s="165"/>
      <c r="CA137" s="165"/>
      <c r="CB137" s="165"/>
      <c r="CC137" s="165"/>
      <c r="CD137" s="165"/>
      <c r="CE137" s="165"/>
      <c r="CF137" s="165"/>
      <c r="CG137" s="165"/>
      <c r="CH137" s="165"/>
      <c r="CI137" s="165"/>
      <c r="CJ137" s="165"/>
      <c r="CK137" s="165"/>
      <c r="CL137" s="165"/>
      <c r="CM137" s="165"/>
      <c r="CN137" s="165"/>
      <c r="CO137" s="165"/>
      <c r="CP137" s="165"/>
      <c r="CQ137" s="194"/>
      <c r="CR137" s="194"/>
      <c r="CS137" s="194"/>
      <c r="CT137" s="194"/>
      <c r="CU137" s="132"/>
      <c r="CV137" s="132"/>
      <c r="CW137" s="132"/>
      <c r="CX137" s="194"/>
      <c r="CY137" s="194"/>
      <c r="CZ137" s="194"/>
      <c r="DA137" s="194"/>
      <c r="DB137" s="194"/>
      <c r="DC137" s="132"/>
      <c r="DD137" s="132"/>
      <c r="DE137" s="132"/>
      <c r="DF137" s="19"/>
      <c r="DG137" s="43"/>
      <c r="DH137" s="43"/>
      <c r="DI137" s="130"/>
      <c r="DJ137" s="164"/>
      <c r="DK137" s="164"/>
      <c r="DL137" s="164"/>
      <c r="DM137" s="164"/>
      <c r="DN137" s="164"/>
      <c r="DO137" s="164"/>
      <c r="DP137" s="164"/>
      <c r="DQ137" s="164"/>
      <c r="DR137" s="164"/>
      <c r="DS137" s="164"/>
      <c r="DT137" s="164"/>
      <c r="DU137" s="164"/>
      <c r="DV137" s="204"/>
      <c r="DW137" s="204"/>
      <c r="DX137" s="204"/>
      <c r="DY137" s="132"/>
      <c r="DZ137" s="132"/>
      <c r="EA137" s="203"/>
      <c r="EB137" s="203"/>
      <c r="EC137" s="203"/>
      <c r="ED137" s="132"/>
      <c r="EE137" s="132"/>
      <c r="EF137" s="205"/>
      <c r="EG137" s="205"/>
      <c r="EH137" s="205"/>
      <c r="EI137" s="132"/>
      <c r="EJ137" s="132"/>
      <c r="EK137" s="194"/>
      <c r="EL137" s="194"/>
      <c r="EM137" s="194"/>
      <c r="EN137" s="164"/>
      <c r="EO137" s="164"/>
      <c r="EP137" s="164"/>
      <c r="EQ137" s="133"/>
      <c r="ER137" s="130"/>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19"/>
      <c r="GB137" s="45"/>
    </row>
    <row r="138" spans="1:184" ht="7.5" customHeight="1">
      <c r="A138" s="43"/>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18"/>
      <c r="AX138" s="118"/>
      <c r="AY138" s="118"/>
      <c r="AZ138" s="118"/>
      <c r="BA138" s="118"/>
      <c r="BB138" s="19"/>
      <c r="BC138" s="19"/>
      <c r="BD138" s="19"/>
      <c r="BE138" s="19"/>
      <c r="BF138" s="19"/>
      <c r="BG138" s="79"/>
      <c r="BH138" s="79"/>
      <c r="BI138" s="79"/>
      <c r="BJ138" s="19"/>
      <c r="BK138" s="19"/>
      <c r="BL138" s="19"/>
      <c r="BM138" s="19"/>
      <c r="BN138" s="19"/>
      <c r="BO138" s="19"/>
      <c r="BP138" s="19"/>
      <c r="BQ138" s="36"/>
      <c r="BR138" s="119"/>
      <c r="BS138" s="119"/>
      <c r="BT138" s="119"/>
      <c r="BU138" s="119"/>
      <c r="BV138" s="118"/>
      <c r="BW138" s="89"/>
      <c r="BX138" s="89"/>
      <c r="BY138" s="19"/>
      <c r="BZ138" s="19"/>
      <c r="CA138" s="19"/>
      <c r="CB138" s="19"/>
      <c r="CC138" s="19"/>
      <c r="CD138" s="19"/>
      <c r="CE138" s="19"/>
      <c r="CF138" s="19"/>
      <c r="CG138" s="19"/>
      <c r="CH138" s="19"/>
      <c r="CI138" s="19"/>
      <c r="CJ138" s="19"/>
      <c r="CK138" s="19"/>
      <c r="CL138" s="19"/>
      <c r="CM138" s="19"/>
      <c r="CN138" s="19"/>
      <c r="CO138" s="19"/>
      <c r="CP138" s="19"/>
      <c r="CQ138" s="66"/>
      <c r="CR138" s="66"/>
      <c r="CS138" s="66"/>
      <c r="CT138" s="66"/>
      <c r="CU138" s="19"/>
      <c r="CV138" s="19"/>
      <c r="CW138" s="19"/>
      <c r="CX138" s="19"/>
      <c r="CY138" s="19"/>
      <c r="CZ138" s="19"/>
      <c r="DA138" s="19"/>
      <c r="DB138" s="19"/>
      <c r="DC138" s="19"/>
      <c r="DD138" s="19"/>
      <c r="DE138" s="19"/>
      <c r="DF138" s="19"/>
      <c r="DG138" s="43"/>
      <c r="DH138" s="43"/>
      <c r="DI138" s="74"/>
      <c r="DJ138" s="19"/>
      <c r="DK138" s="19"/>
      <c r="DL138" s="19"/>
      <c r="DM138" s="19"/>
      <c r="DN138" s="19"/>
      <c r="DO138" s="19"/>
      <c r="DP138" s="19"/>
      <c r="DQ138" s="19"/>
      <c r="DR138" s="19"/>
      <c r="DS138" s="19"/>
      <c r="DT138" s="19"/>
      <c r="DU138" s="19"/>
      <c r="DV138" s="66"/>
      <c r="DW138" s="66"/>
      <c r="DX138" s="66"/>
      <c r="DY138" s="19"/>
      <c r="DZ138" s="19"/>
      <c r="EA138" s="66"/>
      <c r="EB138" s="66"/>
      <c r="EC138" s="66"/>
      <c r="ED138" s="19"/>
      <c r="EE138" s="19"/>
      <c r="EF138" s="66"/>
      <c r="EG138" s="66"/>
      <c r="EH138" s="66"/>
      <c r="EI138" s="19"/>
      <c r="EJ138" s="19"/>
      <c r="EK138" s="66"/>
      <c r="EL138" s="66"/>
      <c r="EM138" s="66"/>
      <c r="EN138" s="19"/>
      <c r="EO138" s="19"/>
      <c r="EP138" s="19"/>
      <c r="EQ138" s="51"/>
      <c r="ER138" s="74"/>
      <c r="ES138" s="200"/>
      <c r="ET138" s="200"/>
      <c r="EU138" s="200"/>
      <c r="EV138" s="200"/>
      <c r="EW138" s="200"/>
      <c r="EX138" s="180"/>
      <c r="EY138" s="200"/>
      <c r="EZ138" s="200"/>
      <c r="FA138" s="200"/>
      <c r="FB138" s="200"/>
      <c r="FC138" s="200"/>
      <c r="FD138" s="200"/>
      <c r="FE138" s="200"/>
      <c r="FF138" s="200"/>
      <c r="FG138" s="200"/>
      <c r="FH138" s="200"/>
      <c r="FI138" s="200"/>
      <c r="FJ138" s="200"/>
      <c r="FK138" s="200"/>
      <c r="FL138" s="200"/>
      <c r="FM138" s="200"/>
      <c r="FN138" s="200"/>
      <c r="FO138" s="200"/>
      <c r="FP138" s="200"/>
      <c r="FQ138" s="200"/>
      <c r="FR138" s="200"/>
      <c r="FS138" s="200"/>
      <c r="FT138" s="200"/>
      <c r="FU138" s="64"/>
      <c r="FV138" s="201"/>
      <c r="FW138" s="201"/>
      <c r="FX138" s="201"/>
      <c r="FY138" s="201"/>
      <c r="FZ138" s="201"/>
      <c r="GA138" s="19"/>
      <c r="GB138" s="45"/>
    </row>
    <row r="139" spans="1:184" ht="7.5" customHeight="1">
      <c r="A139" s="43"/>
      <c r="B139" s="165" t="s">
        <v>344</v>
      </c>
      <c r="C139" s="165"/>
      <c r="D139" s="165"/>
      <c r="E139" s="165"/>
      <c r="F139" s="165"/>
      <c r="G139" s="165"/>
      <c r="H139" s="157"/>
      <c r="I139" s="157"/>
      <c r="J139" s="157"/>
      <c r="K139" s="157"/>
      <c r="L139" s="157"/>
      <c r="M139" s="157"/>
      <c r="N139" s="157"/>
      <c r="O139" s="157"/>
      <c r="P139" s="157"/>
      <c r="Q139" s="157"/>
      <c r="R139" s="157"/>
      <c r="S139" s="19"/>
      <c r="T139" s="138"/>
      <c r="U139" s="138"/>
      <c r="V139" s="138"/>
      <c r="W139" s="132" t="s">
        <v>31</v>
      </c>
      <c r="X139" s="132"/>
      <c r="Y139" s="132"/>
      <c r="Z139" s="132"/>
      <c r="AA139" s="132"/>
      <c r="AB139" s="216"/>
      <c r="AC139" s="216"/>
      <c r="AD139" s="216"/>
      <c r="AE139" s="132" t="s">
        <v>32</v>
      </c>
      <c r="AF139" s="132"/>
      <c r="AG139" s="132">
        <f>IF(ISNUMBER(AB139),AB139*9/5+32,"")</f>
      </c>
      <c r="AH139" s="132"/>
      <c r="AI139" s="132"/>
      <c r="AJ139" s="132"/>
      <c r="AK139" s="164" t="s">
        <v>33</v>
      </c>
      <c r="AL139" s="164"/>
      <c r="AM139" s="19"/>
      <c r="AN139" s="157"/>
      <c r="AO139" s="157"/>
      <c r="AP139" s="157"/>
      <c r="AQ139" s="157"/>
      <c r="AR139" s="157"/>
      <c r="AS139" s="157"/>
      <c r="AT139" s="157"/>
      <c r="AU139" s="157"/>
      <c r="AV139" s="157"/>
      <c r="AW139" s="121"/>
      <c r="AX139" s="131"/>
      <c r="AY139" s="131"/>
      <c r="AZ139" s="131"/>
      <c r="BA139" s="121"/>
      <c r="BB139" s="157"/>
      <c r="BC139" s="160"/>
      <c r="BD139" s="160"/>
      <c r="BE139" s="160"/>
      <c r="BF139" s="19"/>
      <c r="BG139" s="159"/>
      <c r="BH139" s="159"/>
      <c r="BI139" s="159"/>
      <c r="BJ139" s="19"/>
      <c r="BK139" s="131"/>
      <c r="BL139" s="131"/>
      <c r="BM139" s="131"/>
      <c r="BN139" s="131"/>
      <c r="BO139" s="131"/>
      <c r="BP139" s="131"/>
      <c r="BQ139" s="36"/>
      <c r="BR139" s="150" t="str">
        <f>IF(AND(ISNUMBER(AX139),ISNUMBER($BG$86),ISNUMBER($CQ$45)),AX139*($CQ$45/$BG$86),"N/A")</f>
        <v>N/A</v>
      </c>
      <c r="BS139" s="150"/>
      <c r="BT139" s="150"/>
      <c r="BU139" s="150"/>
      <c r="BV139" s="118"/>
      <c r="BW139" s="89"/>
      <c r="BX139" s="89"/>
      <c r="BY139" s="165" t="s">
        <v>315</v>
      </c>
      <c r="BZ139" s="165"/>
      <c r="CA139" s="165"/>
      <c r="CB139" s="165"/>
      <c r="CC139" s="165"/>
      <c r="CD139" s="165"/>
      <c r="CE139" s="165"/>
      <c r="CF139" s="165"/>
      <c r="CG139" s="165"/>
      <c r="CH139" s="165"/>
      <c r="CI139" s="165"/>
      <c r="CJ139" s="165"/>
      <c r="CK139" s="165"/>
      <c r="CL139" s="165"/>
      <c r="CM139" s="165"/>
      <c r="CN139" s="165"/>
      <c r="CO139" s="165"/>
      <c r="CP139" s="165"/>
      <c r="CQ139" s="194">
        <f>IF(ISNUMBER(CQ136),CQ51/(CQ45+EA79)*CQ136,"")</f>
        <v>66.54588384040538</v>
      </c>
      <c r="CR139" s="194"/>
      <c r="CS139" s="194"/>
      <c r="CT139" s="194"/>
      <c r="CU139" s="179" t="s">
        <v>9</v>
      </c>
      <c r="CV139" s="132"/>
      <c r="CW139" s="132"/>
      <c r="CX139" s="194">
        <f>IF(AND(ISNUMBER(CQ139),ISNUMBER(CZ45),CY98&gt;0,CQ82&gt;0),(((CY98-1)*CZ82)/((P33-1)*CZ51))*CQ139,"")</f>
      </c>
      <c r="CY139" s="194"/>
      <c r="CZ139" s="194"/>
      <c r="DA139" s="194"/>
      <c r="DB139" s="194"/>
      <c r="DC139" s="179" t="s">
        <v>9</v>
      </c>
      <c r="DD139" s="132"/>
      <c r="DE139" s="132"/>
      <c r="DF139" s="19"/>
      <c r="DG139" s="43"/>
      <c r="DH139" s="43"/>
      <c r="DI139" s="130">
        <f>IF(ISNUMBER(AC61),IF(ISNUMBER(EK139),EK139*AC61,35.49*AC61),"")</f>
        <v>17.74500117363266</v>
      </c>
      <c r="DJ139" s="164" t="str">
        <f>IF(C61=0,"",C61)</f>
        <v>German - CaraFoam</v>
      </c>
      <c r="DK139" s="164"/>
      <c r="DL139" s="164"/>
      <c r="DM139" s="164"/>
      <c r="DN139" s="164"/>
      <c r="DO139" s="164"/>
      <c r="DP139" s="164"/>
      <c r="DQ139" s="164"/>
      <c r="DR139" s="164"/>
      <c r="DS139" s="164"/>
      <c r="DT139" s="164"/>
      <c r="DU139" s="164"/>
      <c r="DV139" s="204"/>
      <c r="DW139" s="204"/>
      <c r="DX139" s="204"/>
      <c r="DY139" s="179" t="s">
        <v>9</v>
      </c>
      <c r="DZ139" s="132"/>
      <c r="EA139" s="203"/>
      <c r="EB139" s="203"/>
      <c r="EC139" s="203"/>
      <c r="ED139" s="179" t="s">
        <v>9</v>
      </c>
      <c r="EE139" s="132"/>
      <c r="EF139" s="205">
        <f>IF(AND(DV139&gt;0,ISNUMBER(EA139)),DV139*(100-EA139)/100,"")</f>
      </c>
      <c r="EG139" s="205"/>
      <c r="EH139" s="205"/>
      <c r="EI139" s="179" t="s">
        <v>9</v>
      </c>
      <c r="EJ139" s="132"/>
      <c r="EK139" s="194">
        <f>IF(ISNUMBER(EF139),EF139*0.46214,"")</f>
      </c>
      <c r="EL139" s="194"/>
      <c r="EM139" s="194"/>
      <c r="EN139" s="164" t="s">
        <v>83</v>
      </c>
      <c r="EO139" s="164"/>
      <c r="EP139" s="164"/>
      <c r="EQ139" s="133">
        <f>IF(ISNUMBER(DI139),DI139/$DI$157*100,"")</f>
        <v>3.4770518399094357</v>
      </c>
      <c r="ER139" s="130">
        <f>IF(AND(AL61="B",ISNUMBER(EQ139)),EQ139,"")</f>
      </c>
      <c r="ES139" s="200"/>
      <c r="ET139" s="200"/>
      <c r="EU139" s="200"/>
      <c r="EV139" s="200"/>
      <c r="EW139" s="200"/>
      <c r="EX139" s="180"/>
      <c r="EY139" s="200"/>
      <c r="EZ139" s="200"/>
      <c r="FA139" s="200"/>
      <c r="FB139" s="200"/>
      <c r="FC139" s="200"/>
      <c r="FD139" s="200"/>
      <c r="FE139" s="200"/>
      <c r="FF139" s="200"/>
      <c r="FG139" s="200"/>
      <c r="FH139" s="200"/>
      <c r="FI139" s="200"/>
      <c r="FJ139" s="200"/>
      <c r="FK139" s="200"/>
      <c r="FL139" s="200"/>
      <c r="FM139" s="200"/>
      <c r="FN139" s="200"/>
      <c r="FO139" s="200"/>
      <c r="FP139" s="200"/>
      <c r="FQ139" s="200"/>
      <c r="FR139" s="200"/>
      <c r="FS139" s="200"/>
      <c r="FT139" s="200"/>
      <c r="FU139" s="64"/>
      <c r="FV139" s="201"/>
      <c r="FW139" s="201"/>
      <c r="FX139" s="201"/>
      <c r="FY139" s="201"/>
      <c r="FZ139" s="201"/>
      <c r="GA139" s="19"/>
      <c r="GB139" s="45"/>
    </row>
    <row r="140" spans="1:184" ht="7.5" customHeight="1">
      <c r="A140" s="43"/>
      <c r="B140" s="165"/>
      <c r="C140" s="165"/>
      <c r="D140" s="165"/>
      <c r="E140" s="165"/>
      <c r="F140" s="165"/>
      <c r="G140" s="165"/>
      <c r="H140" s="157"/>
      <c r="I140" s="157"/>
      <c r="J140" s="157"/>
      <c r="K140" s="157"/>
      <c r="L140" s="157"/>
      <c r="M140" s="157"/>
      <c r="N140" s="157"/>
      <c r="O140" s="157"/>
      <c r="P140" s="157"/>
      <c r="Q140" s="157"/>
      <c r="R140" s="157"/>
      <c r="S140" s="19"/>
      <c r="T140" s="138"/>
      <c r="U140" s="138"/>
      <c r="V140" s="138"/>
      <c r="W140" s="132"/>
      <c r="X140" s="132"/>
      <c r="Y140" s="132"/>
      <c r="Z140" s="132"/>
      <c r="AA140" s="132"/>
      <c r="AB140" s="216"/>
      <c r="AC140" s="216"/>
      <c r="AD140" s="216"/>
      <c r="AE140" s="132"/>
      <c r="AF140" s="132"/>
      <c r="AG140" s="132"/>
      <c r="AH140" s="132"/>
      <c r="AI140" s="132"/>
      <c r="AJ140" s="132"/>
      <c r="AK140" s="164"/>
      <c r="AL140" s="164"/>
      <c r="AM140" s="19"/>
      <c r="AN140" s="157"/>
      <c r="AO140" s="157"/>
      <c r="AP140" s="157"/>
      <c r="AQ140" s="157"/>
      <c r="AR140" s="157"/>
      <c r="AS140" s="157"/>
      <c r="AT140" s="157"/>
      <c r="AU140" s="157"/>
      <c r="AV140" s="157"/>
      <c r="AW140" s="121"/>
      <c r="AX140" s="131"/>
      <c r="AY140" s="131"/>
      <c r="AZ140" s="131"/>
      <c r="BA140" s="121"/>
      <c r="BB140" s="160"/>
      <c r="BC140" s="160"/>
      <c r="BD140" s="160"/>
      <c r="BE140" s="160"/>
      <c r="BF140" s="19"/>
      <c r="BG140" s="159"/>
      <c r="BH140" s="159"/>
      <c r="BI140" s="159"/>
      <c r="BJ140" s="19"/>
      <c r="BK140" s="131"/>
      <c r="BL140" s="131"/>
      <c r="BM140" s="131"/>
      <c r="BN140" s="131"/>
      <c r="BO140" s="131"/>
      <c r="BP140" s="131"/>
      <c r="BQ140" s="36"/>
      <c r="BR140" s="150"/>
      <c r="BS140" s="150"/>
      <c r="BT140" s="150"/>
      <c r="BU140" s="150"/>
      <c r="BV140" s="118"/>
      <c r="BW140" s="89"/>
      <c r="BX140" s="89"/>
      <c r="BY140" s="165"/>
      <c r="BZ140" s="165"/>
      <c r="CA140" s="165"/>
      <c r="CB140" s="165"/>
      <c r="CC140" s="165"/>
      <c r="CD140" s="165"/>
      <c r="CE140" s="165"/>
      <c r="CF140" s="165"/>
      <c r="CG140" s="165"/>
      <c r="CH140" s="165"/>
      <c r="CI140" s="165"/>
      <c r="CJ140" s="165"/>
      <c r="CK140" s="165"/>
      <c r="CL140" s="165"/>
      <c r="CM140" s="165"/>
      <c r="CN140" s="165"/>
      <c r="CO140" s="165"/>
      <c r="CP140" s="165"/>
      <c r="CQ140" s="194"/>
      <c r="CR140" s="194"/>
      <c r="CS140" s="194"/>
      <c r="CT140" s="194"/>
      <c r="CU140" s="132"/>
      <c r="CV140" s="132"/>
      <c r="CW140" s="132"/>
      <c r="CX140" s="194"/>
      <c r="CY140" s="194"/>
      <c r="CZ140" s="194"/>
      <c r="DA140" s="194"/>
      <c r="DB140" s="194"/>
      <c r="DC140" s="132"/>
      <c r="DD140" s="132"/>
      <c r="DE140" s="132"/>
      <c r="DF140" s="19"/>
      <c r="DG140" s="43"/>
      <c r="DH140" s="43"/>
      <c r="DI140" s="130"/>
      <c r="DJ140" s="164"/>
      <c r="DK140" s="164"/>
      <c r="DL140" s="164"/>
      <c r="DM140" s="164"/>
      <c r="DN140" s="164"/>
      <c r="DO140" s="164"/>
      <c r="DP140" s="164"/>
      <c r="DQ140" s="164"/>
      <c r="DR140" s="164"/>
      <c r="DS140" s="164"/>
      <c r="DT140" s="164"/>
      <c r="DU140" s="164"/>
      <c r="DV140" s="204"/>
      <c r="DW140" s="204"/>
      <c r="DX140" s="204"/>
      <c r="DY140" s="132"/>
      <c r="DZ140" s="132"/>
      <c r="EA140" s="203"/>
      <c r="EB140" s="203"/>
      <c r="EC140" s="203"/>
      <c r="ED140" s="132"/>
      <c r="EE140" s="132"/>
      <c r="EF140" s="205"/>
      <c r="EG140" s="205"/>
      <c r="EH140" s="205"/>
      <c r="EI140" s="132"/>
      <c r="EJ140" s="132"/>
      <c r="EK140" s="194"/>
      <c r="EL140" s="194"/>
      <c r="EM140" s="194"/>
      <c r="EN140" s="164"/>
      <c r="EO140" s="164"/>
      <c r="EP140" s="164"/>
      <c r="EQ140" s="133"/>
      <c r="ER140" s="130"/>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19"/>
      <c r="GB140" s="45"/>
    </row>
    <row r="141" spans="1:184" ht="7.5" customHeight="1">
      <c r="A141" s="43"/>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18"/>
      <c r="AX141" s="118"/>
      <c r="AY141" s="118"/>
      <c r="AZ141" s="118"/>
      <c r="BA141" s="118"/>
      <c r="BB141" s="19"/>
      <c r="BC141" s="19"/>
      <c r="BD141" s="19"/>
      <c r="BE141" s="19"/>
      <c r="BF141" s="19"/>
      <c r="BG141" s="79"/>
      <c r="BH141" s="79"/>
      <c r="BI141" s="79"/>
      <c r="BJ141" s="19"/>
      <c r="BK141" s="19"/>
      <c r="BL141" s="19"/>
      <c r="BM141" s="19"/>
      <c r="BN141" s="19"/>
      <c r="BO141" s="19"/>
      <c r="BP141" s="19"/>
      <c r="BQ141" s="36"/>
      <c r="BR141" s="119"/>
      <c r="BS141" s="119"/>
      <c r="BT141" s="119"/>
      <c r="BU141" s="119"/>
      <c r="BV141" s="118"/>
      <c r="BW141" s="89"/>
      <c r="BX141" s="89"/>
      <c r="BY141" s="19"/>
      <c r="BZ141" s="19"/>
      <c r="CA141" s="19"/>
      <c r="CB141" s="19"/>
      <c r="CC141" s="19"/>
      <c r="CD141" s="19"/>
      <c r="CE141" s="19"/>
      <c r="CF141" s="19"/>
      <c r="CG141" s="19"/>
      <c r="CH141" s="19"/>
      <c r="CI141" s="19"/>
      <c r="CJ141" s="19"/>
      <c r="CK141" s="19"/>
      <c r="CL141" s="19"/>
      <c r="CM141" s="19"/>
      <c r="CN141" s="19"/>
      <c r="CO141" s="19"/>
      <c r="CP141" s="19"/>
      <c r="CQ141" s="66"/>
      <c r="CR141" s="66"/>
      <c r="CS141" s="66"/>
      <c r="CT141" s="66"/>
      <c r="CU141" s="19"/>
      <c r="CV141" s="19"/>
      <c r="CW141" s="19"/>
      <c r="CX141" s="19"/>
      <c r="CY141" s="19"/>
      <c r="CZ141" s="19"/>
      <c r="DA141" s="19"/>
      <c r="DB141" s="19"/>
      <c r="DC141" s="19"/>
      <c r="DD141" s="19"/>
      <c r="DE141" s="19"/>
      <c r="DF141" s="19"/>
      <c r="DG141" s="43"/>
      <c r="DH141" s="43"/>
      <c r="DI141" s="74"/>
      <c r="DJ141" s="19"/>
      <c r="DK141" s="19"/>
      <c r="DL141" s="19"/>
      <c r="DM141" s="19"/>
      <c r="DN141" s="19"/>
      <c r="DO141" s="19"/>
      <c r="DP141" s="19"/>
      <c r="DQ141" s="19"/>
      <c r="DR141" s="19"/>
      <c r="DS141" s="19"/>
      <c r="DT141" s="19"/>
      <c r="DU141" s="19"/>
      <c r="DV141" s="66"/>
      <c r="DW141" s="66"/>
      <c r="DX141" s="66"/>
      <c r="DY141" s="19"/>
      <c r="DZ141" s="19"/>
      <c r="EA141" s="66"/>
      <c r="EB141" s="66"/>
      <c r="EC141" s="66"/>
      <c r="ED141" s="19"/>
      <c r="EE141" s="19"/>
      <c r="EF141" s="66"/>
      <c r="EG141" s="66"/>
      <c r="EH141" s="66"/>
      <c r="EI141" s="19"/>
      <c r="EJ141" s="19"/>
      <c r="EK141" s="66"/>
      <c r="EL141" s="66"/>
      <c r="EM141" s="66"/>
      <c r="EN141" s="19"/>
      <c r="EO141" s="19"/>
      <c r="EP141" s="19"/>
      <c r="EQ141" s="51"/>
      <c r="ER141" s="74"/>
      <c r="ES141" s="200"/>
      <c r="ET141" s="200"/>
      <c r="EU141" s="200"/>
      <c r="EV141" s="200"/>
      <c r="EW141" s="200"/>
      <c r="EX141" s="180"/>
      <c r="EY141" s="200"/>
      <c r="EZ141" s="200"/>
      <c r="FA141" s="200"/>
      <c r="FB141" s="200"/>
      <c r="FC141" s="200"/>
      <c r="FD141" s="200"/>
      <c r="FE141" s="200"/>
      <c r="FF141" s="200"/>
      <c r="FG141" s="200"/>
      <c r="FH141" s="200"/>
      <c r="FI141" s="200"/>
      <c r="FJ141" s="200"/>
      <c r="FK141" s="200"/>
      <c r="FL141" s="200"/>
      <c r="FM141" s="200"/>
      <c r="FN141" s="200"/>
      <c r="FO141" s="200"/>
      <c r="FP141" s="200"/>
      <c r="FQ141" s="200"/>
      <c r="FR141" s="200"/>
      <c r="FS141" s="200"/>
      <c r="FT141" s="200"/>
      <c r="FU141" s="64"/>
      <c r="FV141" s="201"/>
      <c r="FW141" s="201"/>
      <c r="FX141" s="201"/>
      <c r="FY141" s="201"/>
      <c r="FZ141" s="201"/>
      <c r="GA141" s="19"/>
      <c r="GB141" s="45"/>
    </row>
    <row r="142" spans="1:184" ht="7.5" customHeight="1">
      <c r="A142" s="43"/>
      <c r="B142" s="165" t="s">
        <v>343</v>
      </c>
      <c r="C142" s="165"/>
      <c r="D142" s="165"/>
      <c r="E142" s="165"/>
      <c r="F142" s="165"/>
      <c r="G142" s="165"/>
      <c r="H142" s="157"/>
      <c r="I142" s="157"/>
      <c r="J142" s="157"/>
      <c r="K142" s="157"/>
      <c r="L142" s="157"/>
      <c r="M142" s="157"/>
      <c r="N142" s="157"/>
      <c r="O142" s="157"/>
      <c r="P142" s="157"/>
      <c r="Q142" s="157"/>
      <c r="R142" s="157"/>
      <c r="S142" s="19"/>
      <c r="T142" s="138"/>
      <c r="U142" s="138"/>
      <c r="V142" s="138"/>
      <c r="W142" s="132" t="s">
        <v>31</v>
      </c>
      <c r="X142" s="132"/>
      <c r="Y142" s="132"/>
      <c r="Z142" s="132"/>
      <c r="AA142" s="132"/>
      <c r="AB142" s="216"/>
      <c r="AC142" s="216"/>
      <c r="AD142" s="216"/>
      <c r="AE142" s="132" t="s">
        <v>32</v>
      </c>
      <c r="AF142" s="132"/>
      <c r="AG142" s="132">
        <f>IF(ISNUMBER(AB142),AB142*9/5+32,"")</f>
      </c>
      <c r="AH142" s="132"/>
      <c r="AI142" s="132"/>
      <c r="AJ142" s="132"/>
      <c r="AK142" s="164" t="s">
        <v>33</v>
      </c>
      <c r="AL142" s="164"/>
      <c r="AM142" s="19"/>
      <c r="AN142" s="157"/>
      <c r="AO142" s="157"/>
      <c r="AP142" s="157"/>
      <c r="AQ142" s="157"/>
      <c r="AR142" s="157"/>
      <c r="AS142" s="157"/>
      <c r="AT142" s="157"/>
      <c r="AU142" s="157"/>
      <c r="AV142" s="157"/>
      <c r="AW142" s="121"/>
      <c r="AX142" s="131"/>
      <c r="AY142" s="131"/>
      <c r="AZ142" s="131"/>
      <c r="BA142" s="121"/>
      <c r="BB142" s="157"/>
      <c r="BC142" s="160"/>
      <c r="BD142" s="160"/>
      <c r="BE142" s="160"/>
      <c r="BF142" s="19"/>
      <c r="BG142" s="159"/>
      <c r="BH142" s="159"/>
      <c r="BI142" s="159"/>
      <c r="BJ142" s="19"/>
      <c r="BK142" s="131"/>
      <c r="BL142" s="131"/>
      <c r="BM142" s="131"/>
      <c r="BN142" s="131"/>
      <c r="BO142" s="131"/>
      <c r="BP142" s="131"/>
      <c r="BQ142" s="36"/>
      <c r="BR142" s="150" t="str">
        <f>IF(AND(ISNUMBER(AX142),ISNUMBER($BG$86),ISNUMBER($CQ$45)),AX142*($CQ$45/$BG$86),"N/A")</f>
        <v>N/A</v>
      </c>
      <c r="BS142" s="150"/>
      <c r="BT142" s="150"/>
      <c r="BU142" s="150"/>
      <c r="BV142" s="118"/>
      <c r="BW142" s="89"/>
      <c r="BX142" s="89"/>
      <c r="BY142" s="158" t="s">
        <v>249</v>
      </c>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5" t="s">
        <v>91</v>
      </c>
      <c r="DF142" s="156"/>
      <c r="DG142" s="43"/>
      <c r="DH142" s="43"/>
      <c r="DI142" s="130">
        <f>IF(ISNUMBER(AC64),IF(ISNUMBER(EK142),EK142*AC64,35.49*AC64),"")</f>
        <v>17.74500117363266</v>
      </c>
      <c r="DJ142" s="164" t="str">
        <f>IF(C64=0,"",C64)</f>
        <v>Am - Caramel/Crystal 60L</v>
      </c>
      <c r="DK142" s="164"/>
      <c r="DL142" s="164"/>
      <c r="DM142" s="164"/>
      <c r="DN142" s="164"/>
      <c r="DO142" s="164"/>
      <c r="DP142" s="164"/>
      <c r="DQ142" s="164"/>
      <c r="DR142" s="164"/>
      <c r="DS142" s="164"/>
      <c r="DT142" s="164"/>
      <c r="DU142" s="164"/>
      <c r="DV142" s="204"/>
      <c r="DW142" s="204"/>
      <c r="DX142" s="204"/>
      <c r="DY142" s="179" t="s">
        <v>9</v>
      </c>
      <c r="DZ142" s="132"/>
      <c r="EA142" s="203"/>
      <c r="EB142" s="203"/>
      <c r="EC142" s="203"/>
      <c r="ED142" s="179" t="s">
        <v>9</v>
      </c>
      <c r="EE142" s="132"/>
      <c r="EF142" s="205">
        <f>IF(AND(DV142&gt;0,ISNUMBER(EA142)),DV142*(100-EA142)/100,"")</f>
      </c>
      <c r="EG142" s="205"/>
      <c r="EH142" s="205"/>
      <c r="EI142" s="179" t="s">
        <v>9</v>
      </c>
      <c r="EJ142" s="132"/>
      <c r="EK142" s="194">
        <f>IF(ISNUMBER(EF142),EF142*0.46214,"")</f>
      </c>
      <c r="EL142" s="194"/>
      <c r="EM142" s="194"/>
      <c r="EN142" s="164" t="s">
        <v>83</v>
      </c>
      <c r="EO142" s="164"/>
      <c r="EP142" s="164"/>
      <c r="EQ142" s="133">
        <f>IF(ISNUMBER(DI142),DI142/$DI$157*100,"")</f>
        <v>3.4770518399094357</v>
      </c>
      <c r="ER142" s="130">
        <f>IF(AND(AL64="B",ISNUMBER(EQ142)),EQ142,"")</f>
      </c>
      <c r="ES142" s="200"/>
      <c r="ET142" s="200"/>
      <c r="EU142" s="200"/>
      <c r="EV142" s="200"/>
      <c r="EW142" s="200"/>
      <c r="EX142" s="180"/>
      <c r="EY142" s="200"/>
      <c r="EZ142" s="200"/>
      <c r="FA142" s="200"/>
      <c r="FB142" s="200"/>
      <c r="FC142" s="200"/>
      <c r="FD142" s="200"/>
      <c r="FE142" s="200"/>
      <c r="FF142" s="200"/>
      <c r="FG142" s="200"/>
      <c r="FH142" s="200"/>
      <c r="FI142" s="200"/>
      <c r="FJ142" s="200"/>
      <c r="FK142" s="200"/>
      <c r="FL142" s="200"/>
      <c r="FM142" s="200"/>
      <c r="FN142" s="200"/>
      <c r="FO142" s="200"/>
      <c r="FP142" s="200"/>
      <c r="FQ142" s="200"/>
      <c r="FR142" s="200"/>
      <c r="FS142" s="200"/>
      <c r="FT142" s="200"/>
      <c r="FU142" s="64"/>
      <c r="FV142" s="201"/>
      <c r="FW142" s="201"/>
      <c r="FX142" s="201"/>
      <c r="FY142" s="201"/>
      <c r="FZ142" s="201"/>
      <c r="GA142" s="19"/>
      <c r="GB142" s="45"/>
    </row>
    <row r="143" spans="1:184" ht="7.5" customHeight="1">
      <c r="A143" s="43"/>
      <c r="B143" s="165"/>
      <c r="C143" s="165"/>
      <c r="D143" s="165"/>
      <c r="E143" s="165"/>
      <c r="F143" s="165"/>
      <c r="G143" s="165"/>
      <c r="H143" s="157"/>
      <c r="I143" s="157"/>
      <c r="J143" s="157"/>
      <c r="K143" s="157"/>
      <c r="L143" s="157"/>
      <c r="M143" s="157"/>
      <c r="N143" s="157"/>
      <c r="O143" s="157"/>
      <c r="P143" s="157"/>
      <c r="Q143" s="157"/>
      <c r="R143" s="157"/>
      <c r="S143" s="19"/>
      <c r="T143" s="138"/>
      <c r="U143" s="138"/>
      <c r="V143" s="138"/>
      <c r="W143" s="132"/>
      <c r="X143" s="132"/>
      <c r="Y143" s="132"/>
      <c r="Z143" s="132"/>
      <c r="AA143" s="132"/>
      <c r="AB143" s="216"/>
      <c r="AC143" s="216"/>
      <c r="AD143" s="216"/>
      <c r="AE143" s="132"/>
      <c r="AF143" s="132"/>
      <c r="AG143" s="132"/>
      <c r="AH143" s="132"/>
      <c r="AI143" s="132"/>
      <c r="AJ143" s="132"/>
      <c r="AK143" s="164"/>
      <c r="AL143" s="164"/>
      <c r="AM143" s="19"/>
      <c r="AN143" s="157"/>
      <c r="AO143" s="157"/>
      <c r="AP143" s="157"/>
      <c r="AQ143" s="157"/>
      <c r="AR143" s="157"/>
      <c r="AS143" s="157"/>
      <c r="AT143" s="157"/>
      <c r="AU143" s="157"/>
      <c r="AV143" s="157"/>
      <c r="AW143" s="121"/>
      <c r="AX143" s="131"/>
      <c r="AY143" s="131"/>
      <c r="AZ143" s="131"/>
      <c r="BA143" s="121"/>
      <c r="BB143" s="160"/>
      <c r="BC143" s="160"/>
      <c r="BD143" s="160"/>
      <c r="BE143" s="160"/>
      <c r="BF143" s="19"/>
      <c r="BG143" s="159"/>
      <c r="BH143" s="159"/>
      <c r="BI143" s="159"/>
      <c r="BJ143" s="19"/>
      <c r="BK143" s="131"/>
      <c r="BL143" s="131"/>
      <c r="BM143" s="131"/>
      <c r="BN143" s="131"/>
      <c r="BO143" s="131"/>
      <c r="BP143" s="131"/>
      <c r="BQ143" s="36"/>
      <c r="BR143" s="150"/>
      <c r="BS143" s="150"/>
      <c r="BT143" s="150"/>
      <c r="BU143" s="150"/>
      <c r="BV143" s="118"/>
      <c r="BW143" s="89"/>
      <c r="BX143" s="89"/>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6"/>
      <c r="DF143" s="156"/>
      <c r="DG143" s="43"/>
      <c r="DH143" s="43"/>
      <c r="DI143" s="130"/>
      <c r="DJ143" s="164"/>
      <c r="DK143" s="164"/>
      <c r="DL143" s="164"/>
      <c r="DM143" s="164"/>
      <c r="DN143" s="164"/>
      <c r="DO143" s="164"/>
      <c r="DP143" s="164"/>
      <c r="DQ143" s="164"/>
      <c r="DR143" s="164"/>
      <c r="DS143" s="164"/>
      <c r="DT143" s="164"/>
      <c r="DU143" s="164"/>
      <c r="DV143" s="204"/>
      <c r="DW143" s="204"/>
      <c r="DX143" s="204"/>
      <c r="DY143" s="132"/>
      <c r="DZ143" s="132"/>
      <c r="EA143" s="203"/>
      <c r="EB143" s="203"/>
      <c r="EC143" s="203"/>
      <c r="ED143" s="132"/>
      <c r="EE143" s="132"/>
      <c r="EF143" s="205"/>
      <c r="EG143" s="205"/>
      <c r="EH143" s="205"/>
      <c r="EI143" s="132"/>
      <c r="EJ143" s="132"/>
      <c r="EK143" s="194"/>
      <c r="EL143" s="194"/>
      <c r="EM143" s="194"/>
      <c r="EN143" s="164"/>
      <c r="EO143" s="164"/>
      <c r="EP143" s="164"/>
      <c r="EQ143" s="133"/>
      <c r="ER143" s="130"/>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19"/>
      <c r="GB143" s="45"/>
    </row>
    <row r="144" spans="1:184" ht="7.5" customHeight="1" thickBot="1">
      <c r="A144" s="43"/>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36"/>
      <c r="BR144" s="119"/>
      <c r="BS144" s="119"/>
      <c r="BT144" s="119"/>
      <c r="BU144" s="119"/>
      <c r="BV144" s="118"/>
      <c r="BW144" s="89"/>
      <c r="BX144" s="89"/>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43"/>
      <c r="DH144" s="43"/>
      <c r="DI144" s="74"/>
      <c r="DJ144" s="19"/>
      <c r="DK144" s="19"/>
      <c r="DL144" s="19"/>
      <c r="DM144" s="19"/>
      <c r="DN144" s="19"/>
      <c r="DO144" s="19"/>
      <c r="DP144" s="19"/>
      <c r="DQ144" s="19"/>
      <c r="DR144" s="19"/>
      <c r="DS144" s="19"/>
      <c r="DT144" s="19"/>
      <c r="DU144" s="19"/>
      <c r="DV144" s="66"/>
      <c r="DW144" s="66"/>
      <c r="DX144" s="66"/>
      <c r="DY144" s="19"/>
      <c r="DZ144" s="19"/>
      <c r="EA144" s="66"/>
      <c r="EB144" s="66"/>
      <c r="EC144" s="66"/>
      <c r="ED144" s="19"/>
      <c r="EE144" s="19"/>
      <c r="EF144" s="66"/>
      <c r="EG144" s="66"/>
      <c r="EH144" s="66"/>
      <c r="EI144" s="19"/>
      <c r="EJ144" s="19"/>
      <c r="EK144" s="66"/>
      <c r="EL144" s="66"/>
      <c r="EM144" s="66"/>
      <c r="EN144" s="19"/>
      <c r="EO144" s="19"/>
      <c r="EP144" s="19"/>
      <c r="EQ144" s="51"/>
      <c r="ER144" s="74"/>
      <c r="ES144" s="200"/>
      <c r="ET144" s="200"/>
      <c r="EU144" s="200"/>
      <c r="EV144" s="200"/>
      <c r="EW144" s="200"/>
      <c r="EX144" s="180"/>
      <c r="EY144" s="200"/>
      <c r="EZ144" s="200"/>
      <c r="FA144" s="200"/>
      <c r="FB144" s="200"/>
      <c r="FC144" s="200"/>
      <c r="FD144" s="200"/>
      <c r="FE144" s="200"/>
      <c r="FF144" s="200"/>
      <c r="FG144" s="200"/>
      <c r="FH144" s="200"/>
      <c r="FI144" s="200"/>
      <c r="FJ144" s="200"/>
      <c r="FK144" s="200"/>
      <c r="FL144" s="200"/>
      <c r="FM144" s="200"/>
      <c r="FN144" s="200"/>
      <c r="FO144" s="200"/>
      <c r="FP144" s="200"/>
      <c r="FQ144" s="200"/>
      <c r="FR144" s="200"/>
      <c r="FS144" s="200"/>
      <c r="FT144" s="200"/>
      <c r="FU144" s="64"/>
      <c r="FV144" s="201"/>
      <c r="FW144" s="201"/>
      <c r="FX144" s="201"/>
      <c r="FY144" s="201"/>
      <c r="FZ144" s="201"/>
      <c r="GA144" s="19"/>
      <c r="GB144" s="45"/>
    </row>
    <row r="145" spans="1:184" ht="7.5" customHeight="1">
      <c r="A145" s="43"/>
      <c r="B145" s="165" t="s">
        <v>342</v>
      </c>
      <c r="C145" s="165"/>
      <c r="D145" s="165"/>
      <c r="E145" s="165"/>
      <c r="F145" s="165"/>
      <c r="G145" s="165"/>
      <c r="H145" s="157"/>
      <c r="I145" s="157"/>
      <c r="J145" s="157"/>
      <c r="K145" s="157"/>
      <c r="L145" s="157"/>
      <c r="M145" s="157"/>
      <c r="N145" s="157"/>
      <c r="O145" s="157"/>
      <c r="P145" s="157"/>
      <c r="Q145" s="157"/>
      <c r="R145" s="157"/>
      <c r="S145" s="19"/>
      <c r="T145" s="138"/>
      <c r="U145" s="138"/>
      <c r="V145" s="138"/>
      <c r="W145" s="132" t="s">
        <v>31</v>
      </c>
      <c r="X145" s="132"/>
      <c r="Y145" s="132"/>
      <c r="Z145" s="132"/>
      <c r="AA145" s="132"/>
      <c r="AB145" s="216"/>
      <c r="AC145" s="216"/>
      <c r="AD145" s="216"/>
      <c r="AE145" s="132" t="s">
        <v>32</v>
      </c>
      <c r="AF145" s="132"/>
      <c r="AG145" s="132">
        <f>IF(ISNUMBER(AB145),AB145*9/5+32,"")</f>
      </c>
      <c r="AH145" s="132"/>
      <c r="AI145" s="132"/>
      <c r="AJ145" s="132"/>
      <c r="AK145" s="164" t="s">
        <v>33</v>
      </c>
      <c r="AL145" s="164"/>
      <c r="AM145" s="19"/>
      <c r="AN145" s="157"/>
      <c r="AO145" s="157"/>
      <c r="AP145" s="157"/>
      <c r="AQ145" s="157"/>
      <c r="AR145" s="157"/>
      <c r="AS145" s="157"/>
      <c r="AT145" s="157"/>
      <c r="AU145" s="157"/>
      <c r="AV145" s="157"/>
      <c r="AW145" s="121"/>
      <c r="AX145" s="131"/>
      <c r="AY145" s="131"/>
      <c r="AZ145" s="131"/>
      <c r="BA145" s="121"/>
      <c r="BB145" s="157"/>
      <c r="BC145" s="160"/>
      <c r="BD145" s="160"/>
      <c r="BE145" s="160"/>
      <c r="BF145" s="19"/>
      <c r="BG145" s="159"/>
      <c r="BH145" s="159"/>
      <c r="BI145" s="159"/>
      <c r="BJ145" s="19"/>
      <c r="BK145" s="131"/>
      <c r="BL145" s="131"/>
      <c r="BM145" s="131"/>
      <c r="BN145" s="131"/>
      <c r="BO145" s="131"/>
      <c r="BP145" s="131"/>
      <c r="BQ145" s="36"/>
      <c r="BR145" s="150" t="str">
        <f>IF(AND(ISNUMBER(AX145),ISNUMBER($BG$86),ISNUMBER($CQ$45)),AX145*($CQ$45/$BG$86),"N/A")</f>
        <v>N/A</v>
      </c>
      <c r="BS145" s="150"/>
      <c r="BT145" s="150"/>
      <c r="BU145" s="150"/>
      <c r="BV145" s="118"/>
      <c r="BW145" s="89"/>
      <c r="BX145" s="89"/>
      <c r="BY145" s="132" t="s">
        <v>68</v>
      </c>
      <c r="BZ145" s="132"/>
      <c r="CA145" s="132"/>
      <c r="CB145" s="132"/>
      <c r="CC145" s="132"/>
      <c r="CD145" s="132"/>
      <c r="CE145" s="132"/>
      <c r="CF145" s="132"/>
      <c r="CG145" s="132"/>
      <c r="CH145" s="132"/>
      <c r="CI145" s="132"/>
      <c r="CJ145" s="132"/>
      <c r="CK145" s="260"/>
      <c r="CL145" s="261"/>
      <c r="CM145" s="261"/>
      <c r="CN145" s="274" t="str">
        <f>"Below is based on temp in Sect H."</f>
        <v>Below is based on temp in Sect H.</v>
      </c>
      <c r="CO145" s="274"/>
      <c r="CP145" s="274"/>
      <c r="CQ145" s="274"/>
      <c r="CR145" s="274"/>
      <c r="CS145" s="274"/>
      <c r="CT145" s="274"/>
      <c r="CU145" s="274"/>
      <c r="CV145" s="274"/>
      <c r="CW145" s="274"/>
      <c r="CX145" s="274"/>
      <c r="CY145" s="274"/>
      <c r="CZ145" s="274"/>
      <c r="DA145" s="274"/>
      <c r="DB145" s="274"/>
      <c r="DC145" s="274"/>
      <c r="DD145" s="274"/>
      <c r="DE145" s="274"/>
      <c r="DF145" s="274"/>
      <c r="DH145" s="43"/>
      <c r="DI145" s="130">
        <f>IF(ISNUMBER(AC67),IF(ISNUMBER(EK145),EK145*AC67,35.49*AC67),"")</f>
        <v>17.74500117363266</v>
      </c>
      <c r="DJ145" s="164" t="str">
        <f>IF(C67=0,"",C67)</f>
        <v>German - Melanoidin</v>
      </c>
      <c r="DK145" s="164"/>
      <c r="DL145" s="164"/>
      <c r="DM145" s="164"/>
      <c r="DN145" s="164"/>
      <c r="DO145" s="164"/>
      <c r="DP145" s="164"/>
      <c r="DQ145" s="164"/>
      <c r="DR145" s="164"/>
      <c r="DS145" s="164"/>
      <c r="DT145" s="164"/>
      <c r="DU145" s="164"/>
      <c r="DV145" s="204"/>
      <c r="DW145" s="204"/>
      <c r="DX145" s="204"/>
      <c r="DY145" s="179" t="s">
        <v>9</v>
      </c>
      <c r="DZ145" s="132"/>
      <c r="EA145" s="203"/>
      <c r="EB145" s="203"/>
      <c r="EC145" s="203"/>
      <c r="ED145" s="179" t="s">
        <v>9</v>
      </c>
      <c r="EE145" s="132"/>
      <c r="EF145" s="205">
        <f>IF(AND(DV145&gt;0,ISNUMBER(EA145)),DV145*(100-EA145)/100,"")</f>
      </c>
      <c r="EG145" s="205"/>
      <c r="EH145" s="205"/>
      <c r="EI145" s="179" t="s">
        <v>9</v>
      </c>
      <c r="EJ145" s="132"/>
      <c r="EK145" s="194">
        <f>IF(ISNUMBER(EF145),EF145*0.46214,"")</f>
      </c>
      <c r="EL145" s="194"/>
      <c r="EM145" s="194"/>
      <c r="EN145" s="164" t="s">
        <v>83</v>
      </c>
      <c r="EO145" s="164"/>
      <c r="EP145" s="164"/>
      <c r="EQ145" s="133">
        <f>IF(ISNUMBER(DI145),DI145/$DI$157*100,"")</f>
        <v>3.4770518399094357</v>
      </c>
      <c r="ER145" s="130">
        <f>IF(AND(AL67="B",ISNUMBER(EQ145)),EQ145,"")</f>
      </c>
      <c r="ES145" s="200"/>
      <c r="ET145" s="200"/>
      <c r="EU145" s="200"/>
      <c r="EV145" s="200"/>
      <c r="EW145" s="200"/>
      <c r="EX145" s="180"/>
      <c r="EY145" s="200"/>
      <c r="EZ145" s="200"/>
      <c r="FA145" s="200"/>
      <c r="FB145" s="200"/>
      <c r="FC145" s="200"/>
      <c r="FD145" s="200"/>
      <c r="FE145" s="200"/>
      <c r="FF145" s="200"/>
      <c r="FG145" s="200"/>
      <c r="FH145" s="200"/>
      <c r="FI145" s="200"/>
      <c r="FJ145" s="200"/>
      <c r="FK145" s="200"/>
      <c r="FL145" s="200"/>
      <c r="FM145" s="200"/>
      <c r="FN145" s="200"/>
      <c r="FO145" s="200"/>
      <c r="FP145" s="200"/>
      <c r="FQ145" s="200"/>
      <c r="FR145" s="200"/>
      <c r="FS145" s="200"/>
      <c r="FT145" s="200"/>
      <c r="FU145" s="64"/>
      <c r="FV145" s="201"/>
      <c r="FW145" s="201"/>
      <c r="FX145" s="201"/>
      <c r="FY145" s="201"/>
      <c r="FZ145" s="201"/>
      <c r="GA145" s="19"/>
      <c r="GB145" s="45"/>
    </row>
    <row r="146" spans="1:184" ht="7.5" customHeight="1">
      <c r="A146" s="43"/>
      <c r="B146" s="165"/>
      <c r="C146" s="165"/>
      <c r="D146" s="165"/>
      <c r="E146" s="165"/>
      <c r="F146" s="165"/>
      <c r="G146" s="165"/>
      <c r="H146" s="157"/>
      <c r="I146" s="157"/>
      <c r="J146" s="157"/>
      <c r="K146" s="157"/>
      <c r="L146" s="157"/>
      <c r="M146" s="157"/>
      <c r="N146" s="157"/>
      <c r="O146" s="157"/>
      <c r="P146" s="157"/>
      <c r="Q146" s="157"/>
      <c r="R146" s="157"/>
      <c r="S146" s="19"/>
      <c r="T146" s="138"/>
      <c r="U146" s="138"/>
      <c r="V146" s="138"/>
      <c r="W146" s="132"/>
      <c r="X146" s="132"/>
      <c r="Y146" s="132"/>
      <c r="Z146" s="132"/>
      <c r="AA146" s="132"/>
      <c r="AB146" s="216"/>
      <c r="AC146" s="216"/>
      <c r="AD146" s="216"/>
      <c r="AE146" s="132"/>
      <c r="AF146" s="132"/>
      <c r="AG146" s="132"/>
      <c r="AH146" s="132"/>
      <c r="AI146" s="132"/>
      <c r="AJ146" s="132"/>
      <c r="AK146" s="164"/>
      <c r="AL146" s="164"/>
      <c r="AM146" s="19"/>
      <c r="AN146" s="157"/>
      <c r="AO146" s="157"/>
      <c r="AP146" s="157"/>
      <c r="AQ146" s="157"/>
      <c r="AR146" s="157"/>
      <c r="AS146" s="157"/>
      <c r="AT146" s="157"/>
      <c r="AU146" s="157"/>
      <c r="AV146" s="157"/>
      <c r="AW146" s="121"/>
      <c r="AX146" s="131"/>
      <c r="AY146" s="131"/>
      <c r="AZ146" s="131"/>
      <c r="BA146" s="121"/>
      <c r="BB146" s="160"/>
      <c r="BC146" s="160"/>
      <c r="BD146" s="160"/>
      <c r="BE146" s="160"/>
      <c r="BF146" s="19"/>
      <c r="BG146" s="159"/>
      <c r="BH146" s="159"/>
      <c r="BI146" s="159"/>
      <c r="BJ146" s="19"/>
      <c r="BK146" s="131"/>
      <c r="BL146" s="131"/>
      <c r="BM146" s="131"/>
      <c r="BN146" s="131"/>
      <c r="BO146" s="131"/>
      <c r="BP146" s="131"/>
      <c r="BQ146" s="36"/>
      <c r="BR146" s="150"/>
      <c r="BS146" s="150"/>
      <c r="BT146" s="150"/>
      <c r="BU146" s="150"/>
      <c r="BV146" s="118"/>
      <c r="BW146" s="89"/>
      <c r="BX146" s="89"/>
      <c r="BY146" s="132"/>
      <c r="BZ146" s="132"/>
      <c r="CA146" s="132"/>
      <c r="CB146" s="132"/>
      <c r="CC146" s="132"/>
      <c r="CD146" s="132"/>
      <c r="CE146" s="132"/>
      <c r="CF146" s="132"/>
      <c r="CG146" s="132"/>
      <c r="CH146" s="132"/>
      <c r="CI146" s="132"/>
      <c r="CJ146" s="132"/>
      <c r="CK146" s="262"/>
      <c r="CL146" s="263"/>
      <c r="CM146" s="263"/>
      <c r="CN146" s="274"/>
      <c r="CO146" s="274"/>
      <c r="CP146" s="274"/>
      <c r="CQ146" s="274"/>
      <c r="CR146" s="274"/>
      <c r="CS146" s="274"/>
      <c r="CT146" s="274"/>
      <c r="CU146" s="274"/>
      <c r="CV146" s="274"/>
      <c r="CW146" s="274"/>
      <c r="CX146" s="274"/>
      <c r="CY146" s="274"/>
      <c r="CZ146" s="274"/>
      <c r="DA146" s="274"/>
      <c r="DB146" s="274"/>
      <c r="DC146" s="274"/>
      <c r="DD146" s="274"/>
      <c r="DE146" s="274"/>
      <c r="DF146" s="274"/>
      <c r="DH146" s="43"/>
      <c r="DI146" s="130"/>
      <c r="DJ146" s="164"/>
      <c r="DK146" s="164"/>
      <c r="DL146" s="164"/>
      <c r="DM146" s="164"/>
      <c r="DN146" s="164"/>
      <c r="DO146" s="164"/>
      <c r="DP146" s="164"/>
      <c r="DQ146" s="164"/>
      <c r="DR146" s="164"/>
      <c r="DS146" s="164"/>
      <c r="DT146" s="164"/>
      <c r="DU146" s="164"/>
      <c r="DV146" s="204"/>
      <c r="DW146" s="204"/>
      <c r="DX146" s="204"/>
      <c r="DY146" s="132"/>
      <c r="DZ146" s="132"/>
      <c r="EA146" s="203"/>
      <c r="EB146" s="203"/>
      <c r="EC146" s="203"/>
      <c r="ED146" s="132"/>
      <c r="EE146" s="132"/>
      <c r="EF146" s="205"/>
      <c r="EG146" s="205"/>
      <c r="EH146" s="205"/>
      <c r="EI146" s="132"/>
      <c r="EJ146" s="132"/>
      <c r="EK146" s="194"/>
      <c r="EL146" s="194"/>
      <c r="EM146" s="194"/>
      <c r="EN146" s="164"/>
      <c r="EO146" s="164"/>
      <c r="EP146" s="164"/>
      <c r="EQ146" s="133"/>
      <c r="ER146" s="130"/>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19"/>
      <c r="GB146" s="45"/>
    </row>
    <row r="147" spans="1:184" ht="7.5" customHeight="1">
      <c r="A147" s="43"/>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36"/>
      <c r="BR147" s="119"/>
      <c r="BS147" s="119"/>
      <c r="BT147" s="119"/>
      <c r="BU147" s="119"/>
      <c r="BV147" s="118"/>
      <c r="BW147" s="89"/>
      <c r="BX147" s="89"/>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3"/>
      <c r="DH147" s="43"/>
      <c r="DI147" s="74"/>
      <c r="DJ147" s="19"/>
      <c r="DK147" s="19"/>
      <c r="DL147" s="19"/>
      <c r="DM147" s="19"/>
      <c r="DN147" s="19"/>
      <c r="DO147" s="19"/>
      <c r="DP147" s="19"/>
      <c r="DQ147" s="19"/>
      <c r="DR147" s="19"/>
      <c r="DS147" s="19"/>
      <c r="DT147" s="19"/>
      <c r="DU147" s="19"/>
      <c r="DV147" s="66"/>
      <c r="DW147" s="66"/>
      <c r="DX147" s="66"/>
      <c r="DY147" s="19"/>
      <c r="DZ147" s="19"/>
      <c r="EA147" s="66"/>
      <c r="EB147" s="66"/>
      <c r="EC147" s="66"/>
      <c r="ED147" s="19"/>
      <c r="EE147" s="19"/>
      <c r="EF147" s="66"/>
      <c r="EG147" s="66"/>
      <c r="EH147" s="66"/>
      <c r="EI147" s="19"/>
      <c r="EJ147" s="19"/>
      <c r="EK147" s="66"/>
      <c r="EL147" s="66"/>
      <c r="EM147" s="66"/>
      <c r="EN147" s="19"/>
      <c r="EO147" s="19"/>
      <c r="EP147" s="19"/>
      <c r="EQ147" s="51"/>
      <c r="ER147" s="74"/>
      <c r="ES147" s="200"/>
      <c r="ET147" s="200"/>
      <c r="EU147" s="200"/>
      <c r="EV147" s="200"/>
      <c r="EW147" s="200"/>
      <c r="EX147" s="180"/>
      <c r="EY147" s="200"/>
      <c r="EZ147" s="200"/>
      <c r="FA147" s="200"/>
      <c r="FB147" s="200"/>
      <c r="FC147" s="200"/>
      <c r="FD147" s="200"/>
      <c r="FE147" s="200"/>
      <c r="FF147" s="200"/>
      <c r="FG147" s="200"/>
      <c r="FH147" s="200"/>
      <c r="FI147" s="200"/>
      <c r="FJ147" s="200"/>
      <c r="FK147" s="200"/>
      <c r="FL147" s="200"/>
      <c r="FM147" s="200"/>
      <c r="FN147" s="200"/>
      <c r="FO147" s="200"/>
      <c r="FP147" s="200"/>
      <c r="FQ147" s="200"/>
      <c r="FR147" s="200"/>
      <c r="FS147" s="200"/>
      <c r="FT147" s="200"/>
      <c r="FU147" s="64"/>
      <c r="FV147" s="201"/>
      <c r="FW147" s="201"/>
      <c r="FX147" s="201"/>
      <c r="FY147" s="201"/>
      <c r="FZ147" s="201"/>
      <c r="GA147" s="19"/>
      <c r="GB147" s="90"/>
    </row>
    <row r="148" spans="1:184" ht="7.5" customHeight="1">
      <c r="A148" s="43"/>
      <c r="B148" s="19"/>
      <c r="C148" s="132"/>
      <c r="D148" s="132"/>
      <c r="E148" s="132"/>
      <c r="F148" s="132"/>
      <c r="G148" s="132"/>
      <c r="H148" s="132"/>
      <c r="I148" s="132"/>
      <c r="J148" s="170" t="s">
        <v>148</v>
      </c>
      <c r="K148" s="170"/>
      <c r="L148" s="170"/>
      <c r="M148" s="170"/>
      <c r="N148" s="170"/>
      <c r="O148" s="170"/>
      <c r="P148" s="170"/>
      <c r="Q148" s="170"/>
      <c r="R148" s="170"/>
      <c r="S148" s="19"/>
      <c r="T148" s="138"/>
      <c r="U148" s="138"/>
      <c r="V148" s="138"/>
      <c r="W148" s="132" t="s">
        <v>31</v>
      </c>
      <c r="X148" s="132"/>
      <c r="Y148" s="132"/>
      <c r="Z148" s="132"/>
      <c r="AA148" s="132"/>
      <c r="AB148" s="216"/>
      <c r="AC148" s="216"/>
      <c r="AD148" s="216"/>
      <c r="AE148" s="132" t="s">
        <v>32</v>
      </c>
      <c r="AF148" s="132"/>
      <c r="AG148" s="132">
        <f>IF(ISNUMBER(AB148),AB148*9/5+32,"")</f>
      </c>
      <c r="AH148" s="132"/>
      <c r="AI148" s="132"/>
      <c r="AJ148" s="132"/>
      <c r="AK148" s="164" t="s">
        <v>33</v>
      </c>
      <c r="AL148" s="164"/>
      <c r="AM148" s="19"/>
      <c r="AN148" s="157"/>
      <c r="AO148" s="157"/>
      <c r="AP148" s="157"/>
      <c r="AQ148" s="157"/>
      <c r="AR148" s="157"/>
      <c r="AS148" s="157"/>
      <c r="AT148" s="157"/>
      <c r="AU148" s="157"/>
      <c r="AV148" s="157"/>
      <c r="AW148" s="121"/>
      <c r="AX148" s="131"/>
      <c r="AY148" s="131"/>
      <c r="AZ148" s="131"/>
      <c r="BA148" s="121"/>
      <c r="BB148" s="157"/>
      <c r="BC148" s="160"/>
      <c r="BD148" s="160"/>
      <c r="BE148" s="160"/>
      <c r="BF148" s="19"/>
      <c r="BG148" s="159"/>
      <c r="BH148" s="159"/>
      <c r="BI148" s="159"/>
      <c r="BJ148" s="19"/>
      <c r="BK148" s="131"/>
      <c r="BL148" s="131"/>
      <c r="BM148" s="131"/>
      <c r="BN148" s="131"/>
      <c r="BO148" s="131"/>
      <c r="BP148" s="131"/>
      <c r="BQ148" s="36"/>
      <c r="BR148" s="150" t="str">
        <f>IF(AND(ISNUMBER(AX148),ISNUMBER($BG$86),ISNUMBER($CQ$45)),AX148*($CQ$45/$BG$86),"N/A")</f>
        <v>N/A</v>
      </c>
      <c r="BS148" s="150"/>
      <c r="BT148" s="150"/>
      <c r="BU148" s="150"/>
      <c r="BV148" s="118"/>
      <c r="BW148" s="89"/>
      <c r="BX148" s="89"/>
      <c r="BY148" s="170" t="s">
        <v>64</v>
      </c>
      <c r="BZ148" s="170"/>
      <c r="CA148" s="170"/>
      <c r="CB148" s="170"/>
      <c r="CC148" s="170"/>
      <c r="CD148" s="170"/>
      <c r="CE148" s="170"/>
      <c r="CF148" s="170"/>
      <c r="CG148" s="170"/>
      <c r="CH148" s="268"/>
      <c r="CI148" s="268"/>
      <c r="CJ148" s="268"/>
      <c r="CK148" s="268"/>
      <c r="CL148" s="132" t="s">
        <v>66</v>
      </c>
      <c r="CM148" s="132"/>
      <c r="CN148" s="132"/>
      <c r="CO148" s="132"/>
      <c r="CP148" s="144">
        <f>IF(ISNUMBER(CH148),CH148*0.03381402270184,"")</f>
      </c>
      <c r="CQ148" s="144"/>
      <c r="CR148" s="144"/>
      <c r="CS148" s="144"/>
      <c r="CT148" s="161" t="s">
        <v>67</v>
      </c>
      <c r="CU148" s="161"/>
      <c r="CV148" s="165" t="s">
        <v>180</v>
      </c>
      <c r="CW148" s="165"/>
      <c r="CX148" s="165"/>
      <c r="CY148" s="165"/>
      <c r="CZ148" s="165"/>
      <c r="DA148" s="165"/>
      <c r="DB148" s="165"/>
      <c r="DC148" s="194" t="s">
        <v>376</v>
      </c>
      <c r="DD148" s="194"/>
      <c r="DE148" s="194"/>
      <c r="DF148" s="19"/>
      <c r="DG148" s="43"/>
      <c r="DH148" s="43"/>
      <c r="DI148" s="130">
        <f>IF(ISNUMBER(AC70),IF(ISNUMBER(EK148),EK148*AC70,35.49*AC70),"")</f>
      </c>
      <c r="DJ148" s="164">
        <f>IF(C70=0,"",C70)</f>
      </c>
      <c r="DK148" s="164"/>
      <c r="DL148" s="164"/>
      <c r="DM148" s="164"/>
      <c r="DN148" s="164"/>
      <c r="DO148" s="164"/>
      <c r="DP148" s="164"/>
      <c r="DQ148" s="164"/>
      <c r="DR148" s="164"/>
      <c r="DS148" s="164"/>
      <c r="DT148" s="164"/>
      <c r="DU148" s="164"/>
      <c r="DV148" s="204"/>
      <c r="DW148" s="204"/>
      <c r="DX148" s="204"/>
      <c r="DY148" s="179" t="s">
        <v>9</v>
      </c>
      <c r="DZ148" s="132"/>
      <c r="EA148" s="203"/>
      <c r="EB148" s="203"/>
      <c r="EC148" s="203"/>
      <c r="ED148" s="179" t="s">
        <v>9</v>
      </c>
      <c r="EE148" s="132"/>
      <c r="EF148" s="205">
        <f>IF(AND(DV148&gt;0,ISNUMBER(EA148)),DV148*(100-EA148)/100,"")</f>
      </c>
      <c r="EG148" s="205"/>
      <c r="EH148" s="205"/>
      <c r="EI148" s="179" t="s">
        <v>9</v>
      </c>
      <c r="EJ148" s="132"/>
      <c r="EK148" s="194">
        <f>IF(ISNUMBER(EF148),EF148*0.46214,"")</f>
      </c>
      <c r="EL148" s="194"/>
      <c r="EM148" s="194"/>
      <c r="EN148" s="164" t="s">
        <v>83</v>
      </c>
      <c r="EO148" s="164"/>
      <c r="EP148" s="164"/>
      <c r="EQ148" s="133">
        <f>IF(ISNUMBER(DI148),DI148/$DI$157*100,"")</f>
      </c>
      <c r="ER148" s="130">
        <f>IF(AND(AL70="B",ISNUMBER(EQ148)),EQ148,"")</f>
      </c>
      <c r="ES148" s="200"/>
      <c r="ET148" s="200"/>
      <c r="EU148" s="200"/>
      <c r="EV148" s="200"/>
      <c r="EW148" s="200"/>
      <c r="EX148" s="180"/>
      <c r="EY148" s="200"/>
      <c r="EZ148" s="200"/>
      <c r="FA148" s="200"/>
      <c r="FB148" s="200"/>
      <c r="FC148" s="200"/>
      <c r="FD148" s="200"/>
      <c r="FE148" s="200"/>
      <c r="FF148" s="200"/>
      <c r="FG148" s="200"/>
      <c r="FH148" s="200"/>
      <c r="FI148" s="200"/>
      <c r="FJ148" s="200"/>
      <c r="FK148" s="200"/>
      <c r="FL148" s="200"/>
      <c r="FM148" s="200"/>
      <c r="FN148" s="200"/>
      <c r="FO148" s="200"/>
      <c r="FP148" s="200"/>
      <c r="FQ148" s="200"/>
      <c r="FR148" s="200"/>
      <c r="FS148" s="200"/>
      <c r="FT148" s="200"/>
      <c r="FU148" s="64"/>
      <c r="FV148" s="201"/>
      <c r="FW148" s="201"/>
      <c r="FX148" s="201"/>
      <c r="FY148" s="201"/>
      <c r="FZ148" s="201"/>
      <c r="GA148" s="19"/>
      <c r="GB148" s="45"/>
    </row>
    <row r="149" spans="1:184" ht="7.5" customHeight="1">
      <c r="A149" s="43"/>
      <c r="B149" s="19"/>
      <c r="C149" s="132"/>
      <c r="D149" s="132"/>
      <c r="E149" s="132"/>
      <c r="F149" s="132"/>
      <c r="G149" s="132"/>
      <c r="H149" s="132"/>
      <c r="I149" s="132"/>
      <c r="J149" s="170"/>
      <c r="K149" s="170"/>
      <c r="L149" s="170"/>
      <c r="M149" s="170"/>
      <c r="N149" s="170"/>
      <c r="O149" s="170"/>
      <c r="P149" s="170"/>
      <c r="Q149" s="170"/>
      <c r="R149" s="170"/>
      <c r="S149" s="19"/>
      <c r="T149" s="138"/>
      <c r="U149" s="138"/>
      <c r="V149" s="138"/>
      <c r="W149" s="132"/>
      <c r="X149" s="132"/>
      <c r="Y149" s="132"/>
      <c r="Z149" s="132"/>
      <c r="AA149" s="132"/>
      <c r="AB149" s="216"/>
      <c r="AC149" s="216"/>
      <c r="AD149" s="216"/>
      <c r="AE149" s="132"/>
      <c r="AF149" s="132"/>
      <c r="AG149" s="132"/>
      <c r="AH149" s="132"/>
      <c r="AI149" s="132"/>
      <c r="AJ149" s="132"/>
      <c r="AK149" s="164"/>
      <c r="AL149" s="164"/>
      <c r="AM149" s="19"/>
      <c r="AN149" s="157"/>
      <c r="AO149" s="157"/>
      <c r="AP149" s="157"/>
      <c r="AQ149" s="157"/>
      <c r="AR149" s="157"/>
      <c r="AS149" s="157"/>
      <c r="AT149" s="157"/>
      <c r="AU149" s="157"/>
      <c r="AV149" s="157"/>
      <c r="AW149" s="121"/>
      <c r="AX149" s="131"/>
      <c r="AY149" s="131"/>
      <c r="AZ149" s="131"/>
      <c r="BA149" s="121"/>
      <c r="BB149" s="160"/>
      <c r="BC149" s="160"/>
      <c r="BD149" s="160"/>
      <c r="BE149" s="160"/>
      <c r="BF149" s="19"/>
      <c r="BG149" s="159"/>
      <c r="BH149" s="159"/>
      <c r="BI149" s="159"/>
      <c r="BJ149" s="19"/>
      <c r="BK149" s="131"/>
      <c r="BL149" s="131"/>
      <c r="BM149" s="131"/>
      <c r="BN149" s="131"/>
      <c r="BO149" s="131"/>
      <c r="BP149" s="131"/>
      <c r="BQ149" s="36"/>
      <c r="BR149" s="150"/>
      <c r="BS149" s="150"/>
      <c r="BT149" s="150"/>
      <c r="BU149" s="150"/>
      <c r="BV149" s="118"/>
      <c r="BW149" s="89"/>
      <c r="BX149" s="89"/>
      <c r="BY149" s="170"/>
      <c r="BZ149" s="170"/>
      <c r="CA149" s="170"/>
      <c r="CB149" s="170"/>
      <c r="CC149" s="170"/>
      <c r="CD149" s="170"/>
      <c r="CE149" s="170"/>
      <c r="CF149" s="170"/>
      <c r="CG149" s="170"/>
      <c r="CH149" s="268"/>
      <c r="CI149" s="268"/>
      <c r="CJ149" s="268"/>
      <c r="CK149" s="268"/>
      <c r="CL149" s="132"/>
      <c r="CM149" s="132"/>
      <c r="CN149" s="132"/>
      <c r="CO149" s="132"/>
      <c r="CP149" s="144"/>
      <c r="CQ149" s="144"/>
      <c r="CR149" s="144"/>
      <c r="CS149" s="144"/>
      <c r="CT149" s="161"/>
      <c r="CU149" s="161"/>
      <c r="CV149" s="165"/>
      <c r="CW149" s="165"/>
      <c r="CX149" s="165"/>
      <c r="CY149" s="165"/>
      <c r="CZ149" s="165"/>
      <c r="DA149" s="165"/>
      <c r="DB149" s="165"/>
      <c r="DC149" s="194"/>
      <c r="DD149" s="194"/>
      <c r="DE149" s="194"/>
      <c r="DF149" s="19"/>
      <c r="DG149" s="43"/>
      <c r="DH149" s="43"/>
      <c r="DI149" s="130"/>
      <c r="DJ149" s="164"/>
      <c r="DK149" s="164"/>
      <c r="DL149" s="164"/>
      <c r="DM149" s="164"/>
      <c r="DN149" s="164"/>
      <c r="DO149" s="164"/>
      <c r="DP149" s="164"/>
      <c r="DQ149" s="164"/>
      <c r="DR149" s="164"/>
      <c r="DS149" s="164"/>
      <c r="DT149" s="164"/>
      <c r="DU149" s="164"/>
      <c r="DV149" s="204"/>
      <c r="DW149" s="204"/>
      <c r="DX149" s="204"/>
      <c r="DY149" s="132"/>
      <c r="DZ149" s="132"/>
      <c r="EA149" s="203"/>
      <c r="EB149" s="203"/>
      <c r="EC149" s="203"/>
      <c r="ED149" s="132"/>
      <c r="EE149" s="132"/>
      <c r="EF149" s="205"/>
      <c r="EG149" s="205"/>
      <c r="EH149" s="205"/>
      <c r="EI149" s="132"/>
      <c r="EJ149" s="132"/>
      <c r="EK149" s="194"/>
      <c r="EL149" s="194"/>
      <c r="EM149" s="194"/>
      <c r="EN149" s="164"/>
      <c r="EO149" s="164"/>
      <c r="EP149" s="164"/>
      <c r="EQ149" s="133"/>
      <c r="ER149" s="130"/>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19"/>
      <c r="GB149" s="45"/>
    </row>
    <row r="150" spans="1:184" ht="7.5" customHeight="1">
      <c r="A150" s="43"/>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47"/>
      <c r="AM150" s="154" t="s">
        <v>371</v>
      </c>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c r="BK150" s="154"/>
      <c r="BL150" s="154"/>
      <c r="BM150" s="154"/>
      <c r="BN150" s="154"/>
      <c r="BO150" s="154"/>
      <c r="BP150" s="154"/>
      <c r="BQ150" s="154"/>
      <c r="BR150" s="154"/>
      <c r="BS150" s="154"/>
      <c r="BT150" s="154"/>
      <c r="BU150" s="154"/>
      <c r="BV150" s="154"/>
      <c r="BW150" s="89"/>
      <c r="BX150" s="89"/>
      <c r="BY150" s="19"/>
      <c r="BZ150" s="19"/>
      <c r="CA150" s="19"/>
      <c r="CB150" s="19"/>
      <c r="CC150" s="19"/>
      <c r="CD150" s="19"/>
      <c r="CE150" s="19"/>
      <c r="CF150" s="19"/>
      <c r="CG150" s="19"/>
      <c r="CH150" s="19"/>
      <c r="CI150" s="19"/>
      <c r="CJ150" s="19"/>
      <c r="CK150" s="19"/>
      <c r="CL150" s="19"/>
      <c r="CM150" s="19"/>
      <c r="CN150" s="19"/>
      <c r="CO150" s="19"/>
      <c r="CP150" s="19"/>
      <c r="CQ150" s="81"/>
      <c r="CR150" s="19"/>
      <c r="CS150" s="19"/>
      <c r="CT150" s="19"/>
      <c r="CU150" s="19"/>
      <c r="CV150" s="19"/>
      <c r="CW150" s="19"/>
      <c r="CX150" s="19"/>
      <c r="CY150" s="19"/>
      <c r="CZ150" s="19"/>
      <c r="DA150" s="19"/>
      <c r="DB150" s="19"/>
      <c r="DC150" s="19"/>
      <c r="DD150" s="19"/>
      <c r="DE150" s="19"/>
      <c r="DF150" s="19"/>
      <c r="DG150" s="43"/>
      <c r="DH150" s="43"/>
      <c r="DI150" s="74"/>
      <c r="DJ150" s="19"/>
      <c r="DK150" s="19"/>
      <c r="DL150" s="19"/>
      <c r="DM150" s="19"/>
      <c r="DN150" s="19"/>
      <c r="DO150" s="19"/>
      <c r="DP150" s="19"/>
      <c r="DQ150" s="19"/>
      <c r="DR150" s="19"/>
      <c r="DS150" s="19"/>
      <c r="DT150" s="19"/>
      <c r="DU150" s="19"/>
      <c r="DV150" s="66"/>
      <c r="DW150" s="66"/>
      <c r="DX150" s="66"/>
      <c r="DY150" s="19"/>
      <c r="DZ150" s="19"/>
      <c r="EA150" s="66"/>
      <c r="EB150" s="66"/>
      <c r="EC150" s="66"/>
      <c r="ED150" s="19"/>
      <c r="EE150" s="19"/>
      <c r="EF150" s="66"/>
      <c r="EG150" s="66"/>
      <c r="EH150" s="66"/>
      <c r="EI150" s="19"/>
      <c r="EJ150" s="19"/>
      <c r="EK150" s="66"/>
      <c r="EL150" s="66"/>
      <c r="EM150" s="66"/>
      <c r="EN150" s="19"/>
      <c r="EO150" s="19"/>
      <c r="EP150" s="19"/>
      <c r="EQ150" s="51"/>
      <c r="ER150" s="74"/>
      <c r="ES150" s="200"/>
      <c r="ET150" s="200"/>
      <c r="EU150" s="200"/>
      <c r="EV150" s="200"/>
      <c r="EW150" s="200"/>
      <c r="EX150" s="180"/>
      <c r="EY150" s="200"/>
      <c r="EZ150" s="200"/>
      <c r="FA150" s="200"/>
      <c r="FB150" s="200"/>
      <c r="FC150" s="200"/>
      <c r="FD150" s="200"/>
      <c r="FE150" s="200"/>
      <c r="FF150" s="200"/>
      <c r="FG150" s="200"/>
      <c r="FH150" s="200"/>
      <c r="FI150" s="200"/>
      <c r="FJ150" s="200"/>
      <c r="FK150" s="200"/>
      <c r="FL150" s="200"/>
      <c r="FM150" s="200"/>
      <c r="FN150" s="200"/>
      <c r="FO150" s="200"/>
      <c r="FP150" s="200"/>
      <c r="FQ150" s="200"/>
      <c r="FR150" s="200"/>
      <c r="FS150" s="200"/>
      <c r="FT150" s="200"/>
      <c r="FU150" s="64"/>
      <c r="FV150" s="201"/>
      <c r="FW150" s="201"/>
      <c r="FX150" s="201"/>
      <c r="FY150" s="201"/>
      <c r="FZ150" s="201"/>
      <c r="GA150" s="19"/>
      <c r="GB150" s="45"/>
    </row>
    <row r="151" spans="1:184" ht="7.5" customHeight="1">
      <c r="A151" s="43"/>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47"/>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89"/>
      <c r="BX151" s="89"/>
      <c r="BY151" s="165" t="s">
        <v>72</v>
      </c>
      <c r="BZ151" s="165"/>
      <c r="CA151" s="165"/>
      <c r="CB151" s="165"/>
      <c r="CC151" s="165"/>
      <c r="CD151" s="165"/>
      <c r="CE151" s="165"/>
      <c r="CF151" s="165"/>
      <c r="CG151" s="165"/>
      <c r="CH151" s="194">
        <f>IF(AND(ISNUMBER(CH148),CK145&gt;0,AB170&gt;0),((CK145-(3.0378-5.0062*10^-2*(AB170*1.8+32)+2.6555*10^-4*(AB170*1.8+32)^2))/0.286)*CH148/1000,"")</f>
      </c>
      <c r="CI151" s="194"/>
      <c r="CJ151" s="194"/>
      <c r="CK151" s="194"/>
      <c r="CL151" s="132" t="s">
        <v>71</v>
      </c>
      <c r="CM151" s="132"/>
      <c r="CN151" s="132"/>
      <c r="CO151" s="132"/>
      <c r="CP151" s="132"/>
      <c r="CQ151" s="266">
        <f>IF(ISNUMBER(CH151),CH151/28.349523125,"")</f>
      </c>
      <c r="CR151" s="266"/>
      <c r="CS151" s="266"/>
      <c r="CT151" s="266"/>
      <c r="CU151" s="132" t="s">
        <v>70</v>
      </c>
      <c r="CV151" s="132"/>
      <c r="CW151" s="132"/>
      <c r="CX151" s="132"/>
      <c r="CY151" s="132"/>
      <c r="CZ151" s="132"/>
      <c r="DA151" s="132"/>
      <c r="DB151" s="132"/>
      <c r="DC151" s="132"/>
      <c r="DD151" s="132"/>
      <c r="DE151" s="132"/>
      <c r="DF151" s="132"/>
      <c r="DG151" s="43"/>
      <c r="DH151" s="43"/>
      <c r="DI151" s="130">
        <f>IF(ISNUMBER(AC73),IF(ISNUMBER(EK151),EK151*AC73,35.49*AC73),"")</f>
      </c>
      <c r="DJ151" s="164">
        <f>IF(C73=0,"",C73)</f>
      </c>
      <c r="DK151" s="164"/>
      <c r="DL151" s="164"/>
      <c r="DM151" s="164"/>
      <c r="DN151" s="164"/>
      <c r="DO151" s="164"/>
      <c r="DP151" s="164"/>
      <c r="DQ151" s="164"/>
      <c r="DR151" s="164"/>
      <c r="DS151" s="164"/>
      <c r="DT151" s="164"/>
      <c r="DU151" s="164"/>
      <c r="DV151" s="204"/>
      <c r="DW151" s="204"/>
      <c r="DX151" s="204"/>
      <c r="DY151" s="179" t="s">
        <v>9</v>
      </c>
      <c r="DZ151" s="132"/>
      <c r="EA151" s="203"/>
      <c r="EB151" s="203"/>
      <c r="EC151" s="203"/>
      <c r="ED151" s="179" t="s">
        <v>9</v>
      </c>
      <c r="EE151" s="132"/>
      <c r="EF151" s="205">
        <f>IF(AND(DV151&gt;0,ISNUMBER(EA151)),DV151*(100-EA151)/100,"")</f>
      </c>
      <c r="EG151" s="205"/>
      <c r="EH151" s="205"/>
      <c r="EI151" s="179" t="s">
        <v>9</v>
      </c>
      <c r="EJ151" s="132"/>
      <c r="EK151" s="194">
        <f>IF(ISNUMBER(EF151),EF151*0.46214,"")</f>
      </c>
      <c r="EL151" s="194"/>
      <c r="EM151" s="194"/>
      <c r="EN151" s="164" t="s">
        <v>83</v>
      </c>
      <c r="EO151" s="164"/>
      <c r="EP151" s="164"/>
      <c r="EQ151" s="133">
        <f>IF(ISNUMBER(DI151),DI151/$DI$157*100,"")</f>
      </c>
      <c r="ER151" s="130">
        <f>IF(AND(AL73="B",ISNUMBER(EQ151)),EQ151,"")</f>
      </c>
      <c r="ES151" s="200"/>
      <c r="ET151" s="200"/>
      <c r="EU151" s="200"/>
      <c r="EV151" s="200"/>
      <c r="EW151" s="200"/>
      <c r="EX151" s="180"/>
      <c r="EY151" s="200"/>
      <c r="EZ151" s="200"/>
      <c r="FA151" s="200"/>
      <c r="FB151" s="200"/>
      <c r="FC151" s="200"/>
      <c r="FD151" s="200"/>
      <c r="FE151" s="200"/>
      <c r="FF151" s="200"/>
      <c r="FG151" s="200"/>
      <c r="FH151" s="200"/>
      <c r="FI151" s="200"/>
      <c r="FJ151" s="200"/>
      <c r="FK151" s="200"/>
      <c r="FL151" s="200"/>
      <c r="FM151" s="200"/>
      <c r="FN151" s="200"/>
      <c r="FO151" s="200"/>
      <c r="FP151" s="200"/>
      <c r="FQ151" s="200"/>
      <c r="FR151" s="200"/>
      <c r="FS151" s="200"/>
      <c r="FT151" s="200"/>
      <c r="FU151" s="64"/>
      <c r="FV151" s="201"/>
      <c r="FW151" s="201"/>
      <c r="FX151" s="201"/>
      <c r="FY151" s="201"/>
      <c r="FZ151" s="201"/>
      <c r="GA151" s="19"/>
      <c r="GB151" s="45"/>
    </row>
    <row r="152" spans="1:184" ht="7.5" customHeight="1">
      <c r="A152" s="43"/>
      <c r="B152" s="158" t="s">
        <v>239</v>
      </c>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5" t="s">
        <v>91</v>
      </c>
      <c r="AK152" s="156"/>
      <c r="AL152" s="47"/>
      <c r="AM152" s="158" t="s">
        <v>241</v>
      </c>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5" t="s">
        <v>91</v>
      </c>
      <c r="BV152" s="155"/>
      <c r="BW152" s="89"/>
      <c r="BX152" s="89"/>
      <c r="BY152" s="165"/>
      <c r="BZ152" s="165"/>
      <c r="CA152" s="165"/>
      <c r="CB152" s="165"/>
      <c r="CC152" s="165"/>
      <c r="CD152" s="165"/>
      <c r="CE152" s="165"/>
      <c r="CF152" s="165"/>
      <c r="CG152" s="165"/>
      <c r="CH152" s="194"/>
      <c r="CI152" s="194"/>
      <c r="CJ152" s="194"/>
      <c r="CK152" s="194"/>
      <c r="CL152" s="132"/>
      <c r="CM152" s="132"/>
      <c r="CN152" s="132"/>
      <c r="CO152" s="132"/>
      <c r="CP152" s="132"/>
      <c r="CQ152" s="266"/>
      <c r="CR152" s="266"/>
      <c r="CS152" s="266"/>
      <c r="CT152" s="266"/>
      <c r="CU152" s="132"/>
      <c r="CV152" s="132"/>
      <c r="CW152" s="132"/>
      <c r="CX152" s="132"/>
      <c r="CY152" s="132"/>
      <c r="CZ152" s="132"/>
      <c r="DA152" s="132"/>
      <c r="DB152" s="132"/>
      <c r="DC152" s="132"/>
      <c r="DD152" s="132"/>
      <c r="DE152" s="132"/>
      <c r="DF152" s="132"/>
      <c r="DG152" s="43"/>
      <c r="DH152" s="43"/>
      <c r="DI152" s="130"/>
      <c r="DJ152" s="164"/>
      <c r="DK152" s="164"/>
      <c r="DL152" s="164"/>
      <c r="DM152" s="164"/>
      <c r="DN152" s="164"/>
      <c r="DO152" s="164"/>
      <c r="DP152" s="164"/>
      <c r="DQ152" s="164"/>
      <c r="DR152" s="164"/>
      <c r="DS152" s="164"/>
      <c r="DT152" s="164"/>
      <c r="DU152" s="164"/>
      <c r="DV152" s="204"/>
      <c r="DW152" s="204"/>
      <c r="DX152" s="204"/>
      <c r="DY152" s="132"/>
      <c r="DZ152" s="132"/>
      <c r="EA152" s="203"/>
      <c r="EB152" s="203"/>
      <c r="EC152" s="203"/>
      <c r="ED152" s="132"/>
      <c r="EE152" s="132"/>
      <c r="EF152" s="205"/>
      <c r="EG152" s="205"/>
      <c r="EH152" s="205"/>
      <c r="EI152" s="132"/>
      <c r="EJ152" s="132"/>
      <c r="EK152" s="194"/>
      <c r="EL152" s="194"/>
      <c r="EM152" s="194"/>
      <c r="EN152" s="164"/>
      <c r="EO152" s="164"/>
      <c r="EP152" s="164"/>
      <c r="EQ152" s="133"/>
      <c r="ER152" s="130"/>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19"/>
      <c r="GB152" s="45"/>
    </row>
    <row r="153" spans="1:184" ht="7.5" customHeight="1">
      <c r="A153" s="43"/>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6"/>
      <c r="AK153" s="156"/>
      <c r="AL153" s="47"/>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5"/>
      <c r="BV153" s="155"/>
      <c r="BW153" s="89"/>
      <c r="BX153" s="8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43"/>
      <c r="DH153" s="43"/>
      <c r="DI153" s="74"/>
      <c r="DJ153" s="19"/>
      <c r="DK153" s="19"/>
      <c r="DL153" s="19"/>
      <c r="DM153" s="19"/>
      <c r="DN153" s="19"/>
      <c r="DO153" s="19"/>
      <c r="DP153" s="19"/>
      <c r="DQ153" s="19"/>
      <c r="DR153" s="19"/>
      <c r="DS153" s="19"/>
      <c r="DT153" s="19"/>
      <c r="DU153" s="19"/>
      <c r="DV153" s="66"/>
      <c r="DW153" s="66"/>
      <c r="DX153" s="66"/>
      <c r="DY153" s="19"/>
      <c r="DZ153" s="19"/>
      <c r="EA153" s="66"/>
      <c r="EB153" s="66"/>
      <c r="EC153" s="66"/>
      <c r="ED153" s="19"/>
      <c r="EE153" s="19"/>
      <c r="EF153" s="66"/>
      <c r="EG153" s="66"/>
      <c r="EH153" s="66"/>
      <c r="EI153" s="19"/>
      <c r="EJ153" s="19"/>
      <c r="EK153" s="66"/>
      <c r="EL153" s="66"/>
      <c r="EM153" s="66"/>
      <c r="EN153" s="19"/>
      <c r="EO153" s="19"/>
      <c r="EP153" s="19"/>
      <c r="EQ153" s="51"/>
      <c r="ER153" s="74"/>
      <c r="ES153" s="200"/>
      <c r="ET153" s="200"/>
      <c r="EU153" s="200"/>
      <c r="EV153" s="200"/>
      <c r="EW153" s="200"/>
      <c r="EX153" s="180"/>
      <c r="EY153" s="200"/>
      <c r="EZ153" s="200"/>
      <c r="FA153" s="200"/>
      <c r="FB153" s="200"/>
      <c r="FC153" s="200"/>
      <c r="FD153" s="200"/>
      <c r="FE153" s="200"/>
      <c r="FF153" s="200"/>
      <c r="FG153" s="200"/>
      <c r="FH153" s="200"/>
      <c r="FI153" s="200"/>
      <c r="FJ153" s="200"/>
      <c r="FK153" s="200"/>
      <c r="FL153" s="200"/>
      <c r="FM153" s="200"/>
      <c r="FN153" s="200"/>
      <c r="FO153" s="200"/>
      <c r="FP153" s="200"/>
      <c r="FQ153" s="200"/>
      <c r="FR153" s="200"/>
      <c r="FS153" s="200"/>
      <c r="FT153" s="200"/>
      <c r="FU153" s="64"/>
      <c r="FV153" s="201"/>
      <c r="FW153" s="201"/>
      <c r="FX153" s="201"/>
      <c r="FY153" s="201"/>
      <c r="FZ153" s="201"/>
      <c r="GA153" s="19"/>
      <c r="GB153" s="45"/>
    </row>
    <row r="154" spans="1:184" ht="7.5" customHeight="1">
      <c r="A154" s="43"/>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79"/>
      <c r="Z154" s="79"/>
      <c r="AA154" s="79"/>
      <c r="AB154" s="19"/>
      <c r="AC154" s="19"/>
      <c r="AD154" s="19"/>
      <c r="AE154" s="19"/>
      <c r="AF154" s="19"/>
      <c r="AG154" s="19"/>
      <c r="AH154" s="19"/>
      <c r="AI154" s="19"/>
      <c r="AJ154" s="19"/>
      <c r="AK154" s="19"/>
      <c r="AL154" s="47"/>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89"/>
      <c r="BX154" s="89"/>
      <c r="BY154" s="170" t="s">
        <v>181</v>
      </c>
      <c r="BZ154" s="170"/>
      <c r="CA154" s="170"/>
      <c r="CB154" s="170"/>
      <c r="CC154" s="170"/>
      <c r="CD154" s="170"/>
      <c r="CE154" s="170"/>
      <c r="CF154" s="170"/>
      <c r="CG154" s="170"/>
      <c r="CH154" s="292"/>
      <c r="CI154" s="292"/>
      <c r="CJ154" s="292"/>
      <c r="CK154" s="292"/>
      <c r="CL154" s="132" t="s">
        <v>75</v>
      </c>
      <c r="CM154" s="132"/>
      <c r="CN154" s="132"/>
      <c r="CO154" s="144">
        <f>IF(ISNUMBER(CH154),CH154*0.2641720523582,"")</f>
      </c>
      <c r="CP154" s="144"/>
      <c r="CQ154" s="144"/>
      <c r="CR154" s="153" t="s">
        <v>7</v>
      </c>
      <c r="CS154" s="153"/>
      <c r="CT154" s="153"/>
      <c r="CU154" s="19"/>
      <c r="CV154" s="165" t="s">
        <v>180</v>
      </c>
      <c r="CW154" s="165"/>
      <c r="CX154" s="165"/>
      <c r="CY154" s="165"/>
      <c r="CZ154" s="165"/>
      <c r="DA154" s="165"/>
      <c r="DB154" s="165"/>
      <c r="DC154" s="194">
        <f>IF(AND(ISNUMBER(CH154),ISNUMBER(CH148),CH154&gt;0),(CH154*1000)/CH148,"")</f>
      </c>
      <c r="DD154" s="194"/>
      <c r="DE154" s="194"/>
      <c r="DF154" s="19"/>
      <c r="DG154" s="43"/>
      <c r="DH154" s="43"/>
      <c r="DI154" s="130">
        <f>IF(ISNUMBER(AC76),IF(ISNUMBER(EK154),EK154*AC76,35.49*AC76),"")</f>
      </c>
      <c r="DJ154" s="164">
        <f>IF(C76=0,"",C76)</f>
      </c>
      <c r="DK154" s="164"/>
      <c r="DL154" s="164"/>
      <c r="DM154" s="164"/>
      <c r="DN154" s="164"/>
      <c r="DO154" s="164"/>
      <c r="DP154" s="164"/>
      <c r="DQ154" s="164"/>
      <c r="DR154" s="164"/>
      <c r="DS154" s="164"/>
      <c r="DT154" s="164"/>
      <c r="DU154" s="164"/>
      <c r="DV154" s="204"/>
      <c r="DW154" s="204"/>
      <c r="DX154" s="204"/>
      <c r="DY154" s="179" t="s">
        <v>9</v>
      </c>
      <c r="DZ154" s="132"/>
      <c r="EA154" s="203"/>
      <c r="EB154" s="203"/>
      <c r="EC154" s="203"/>
      <c r="ED154" s="179" t="s">
        <v>9</v>
      </c>
      <c r="EE154" s="132"/>
      <c r="EF154" s="205">
        <f>IF(AND(DV154&gt;0,ISNUMBER(EA154)),DV154*(100-EA154)/100,"")</f>
      </c>
      <c r="EG154" s="205"/>
      <c r="EH154" s="205"/>
      <c r="EI154" s="179" t="s">
        <v>9</v>
      </c>
      <c r="EJ154" s="132"/>
      <c r="EK154" s="194">
        <f>IF(ISNUMBER(EF154),EF154*0.46214,"")</f>
      </c>
      <c r="EL154" s="194"/>
      <c r="EM154" s="194"/>
      <c r="EN154" s="164" t="s">
        <v>83</v>
      </c>
      <c r="EO154" s="164"/>
      <c r="EP154" s="164"/>
      <c r="EQ154" s="133">
        <f>IF(ISNUMBER(DI154),DI154/$DI$157*100,"")</f>
      </c>
      <c r="ER154" s="130">
        <f>IF(AND(AL76="B",ISNUMBER(EQ154)),EQ154,"")</f>
      </c>
      <c r="ES154" s="200"/>
      <c r="ET154" s="200"/>
      <c r="EU154" s="200"/>
      <c r="EV154" s="200"/>
      <c r="EW154" s="200"/>
      <c r="EX154" s="180"/>
      <c r="EY154" s="200"/>
      <c r="EZ154" s="200"/>
      <c r="FA154" s="200"/>
      <c r="FB154" s="200"/>
      <c r="FC154" s="200"/>
      <c r="FD154" s="200"/>
      <c r="FE154" s="200"/>
      <c r="FF154" s="200"/>
      <c r="FG154" s="200"/>
      <c r="FH154" s="200"/>
      <c r="FI154" s="200"/>
      <c r="FJ154" s="200"/>
      <c r="FK154" s="200"/>
      <c r="FL154" s="200"/>
      <c r="FM154" s="200"/>
      <c r="FN154" s="200"/>
      <c r="FO154" s="200"/>
      <c r="FP154" s="200"/>
      <c r="FQ154" s="200"/>
      <c r="FR154" s="200"/>
      <c r="FS154" s="200"/>
      <c r="FT154" s="200"/>
      <c r="FU154" s="64"/>
      <c r="FV154" s="201"/>
      <c r="FW154" s="201"/>
      <c r="FX154" s="201"/>
      <c r="FY154" s="201"/>
      <c r="FZ154" s="201"/>
      <c r="GA154" s="19"/>
      <c r="GB154" s="45"/>
    </row>
    <row r="155" spans="1:184" ht="7.5" customHeight="1">
      <c r="A155" s="43"/>
      <c r="B155" s="275" t="s">
        <v>160</v>
      </c>
      <c r="C155" s="275"/>
      <c r="D155" s="275"/>
      <c r="E155" s="275"/>
      <c r="F155" s="275"/>
      <c r="G155" s="275"/>
      <c r="H155" s="275"/>
      <c r="I155" s="275"/>
      <c r="J155" s="275"/>
      <c r="K155" s="131"/>
      <c r="L155" s="131"/>
      <c r="M155" s="165" t="s">
        <v>166</v>
      </c>
      <c r="N155" s="165"/>
      <c r="O155" s="165"/>
      <c r="P155" s="165"/>
      <c r="Q155" s="165"/>
      <c r="R155" s="165"/>
      <c r="S155" s="131"/>
      <c r="T155" s="131"/>
      <c r="U155" s="164" t="s">
        <v>161</v>
      </c>
      <c r="V155" s="164"/>
      <c r="W155" s="164"/>
      <c r="X155" s="170" t="s">
        <v>162</v>
      </c>
      <c r="Y155" s="170"/>
      <c r="Z155" s="170"/>
      <c r="AA155" s="170"/>
      <c r="AB155" s="170"/>
      <c r="AC155" s="170"/>
      <c r="AD155" s="170"/>
      <c r="AE155" s="170"/>
      <c r="AF155" s="131"/>
      <c r="AG155" s="131"/>
      <c r="AH155" s="132" t="s">
        <v>161</v>
      </c>
      <c r="AI155" s="132"/>
      <c r="AJ155" s="132"/>
      <c r="AK155" s="19"/>
      <c r="AL155" s="47"/>
      <c r="AM155" s="163"/>
      <c r="AN155" s="163"/>
      <c r="AO155" s="163"/>
      <c r="AP155" s="163"/>
      <c r="AQ155" s="163"/>
      <c r="AR155" s="163"/>
      <c r="AS155" s="163"/>
      <c r="AT155" s="163"/>
      <c r="AU155" s="163"/>
      <c r="AV155" s="163"/>
      <c r="AW155" s="163"/>
      <c r="AX155" s="163"/>
      <c r="AY155" s="163"/>
      <c r="AZ155" s="163"/>
      <c r="BA155" s="163"/>
      <c r="BB155" s="163"/>
      <c r="BC155" s="163"/>
      <c r="BD155" s="163"/>
      <c r="BE155" s="163"/>
      <c r="BF155" s="163"/>
      <c r="BG155" s="163"/>
      <c r="BH155" s="163"/>
      <c r="BI155" s="163"/>
      <c r="BJ155" s="163"/>
      <c r="BK155" s="163"/>
      <c r="BL155" s="163"/>
      <c r="BM155" s="163"/>
      <c r="BN155" s="163"/>
      <c r="BO155" s="163"/>
      <c r="BP155" s="163"/>
      <c r="BQ155" s="163"/>
      <c r="BR155" s="163"/>
      <c r="BS155" s="163"/>
      <c r="BT155" s="163"/>
      <c r="BU155" s="163"/>
      <c r="BV155" s="19"/>
      <c r="BW155" s="89"/>
      <c r="BX155" s="89"/>
      <c r="BY155" s="170"/>
      <c r="BZ155" s="170"/>
      <c r="CA155" s="170"/>
      <c r="CB155" s="170"/>
      <c r="CC155" s="170"/>
      <c r="CD155" s="170"/>
      <c r="CE155" s="170"/>
      <c r="CF155" s="170"/>
      <c r="CG155" s="170"/>
      <c r="CH155" s="292"/>
      <c r="CI155" s="292"/>
      <c r="CJ155" s="292"/>
      <c r="CK155" s="292"/>
      <c r="CL155" s="132"/>
      <c r="CM155" s="132"/>
      <c r="CN155" s="132"/>
      <c r="CO155" s="144"/>
      <c r="CP155" s="144"/>
      <c r="CQ155" s="144"/>
      <c r="CR155" s="153"/>
      <c r="CS155" s="153"/>
      <c r="CT155" s="153"/>
      <c r="CU155" s="19"/>
      <c r="CV155" s="165"/>
      <c r="CW155" s="165"/>
      <c r="CX155" s="165"/>
      <c r="CY155" s="165"/>
      <c r="CZ155" s="165"/>
      <c r="DA155" s="165"/>
      <c r="DB155" s="165"/>
      <c r="DC155" s="194"/>
      <c r="DD155" s="194"/>
      <c r="DE155" s="194"/>
      <c r="DF155" s="19"/>
      <c r="DG155" s="43"/>
      <c r="DH155" s="43"/>
      <c r="DI155" s="130"/>
      <c r="DJ155" s="164"/>
      <c r="DK155" s="164"/>
      <c r="DL155" s="164"/>
      <c r="DM155" s="164"/>
      <c r="DN155" s="164"/>
      <c r="DO155" s="164"/>
      <c r="DP155" s="164"/>
      <c r="DQ155" s="164"/>
      <c r="DR155" s="164"/>
      <c r="DS155" s="164"/>
      <c r="DT155" s="164"/>
      <c r="DU155" s="164"/>
      <c r="DV155" s="204"/>
      <c r="DW155" s="204"/>
      <c r="DX155" s="204"/>
      <c r="DY155" s="132"/>
      <c r="DZ155" s="132"/>
      <c r="EA155" s="203"/>
      <c r="EB155" s="203"/>
      <c r="EC155" s="203"/>
      <c r="ED155" s="132"/>
      <c r="EE155" s="132"/>
      <c r="EF155" s="205"/>
      <c r="EG155" s="205"/>
      <c r="EH155" s="205"/>
      <c r="EI155" s="132"/>
      <c r="EJ155" s="132"/>
      <c r="EK155" s="194"/>
      <c r="EL155" s="194"/>
      <c r="EM155" s="194"/>
      <c r="EN155" s="164"/>
      <c r="EO155" s="164"/>
      <c r="EP155" s="164"/>
      <c r="EQ155" s="133"/>
      <c r="ER155" s="130"/>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19"/>
      <c r="GB155" s="45"/>
    </row>
    <row r="156" spans="1:184" ht="7.5" customHeight="1">
      <c r="A156" s="43"/>
      <c r="B156" s="275"/>
      <c r="C156" s="275"/>
      <c r="D156" s="275"/>
      <c r="E156" s="275"/>
      <c r="F156" s="275"/>
      <c r="G156" s="275"/>
      <c r="H156" s="275"/>
      <c r="I156" s="275"/>
      <c r="J156" s="275"/>
      <c r="K156" s="131"/>
      <c r="L156" s="131"/>
      <c r="M156" s="165"/>
      <c r="N156" s="165"/>
      <c r="O156" s="165"/>
      <c r="P156" s="165"/>
      <c r="Q156" s="165"/>
      <c r="R156" s="165"/>
      <c r="S156" s="131"/>
      <c r="T156" s="131"/>
      <c r="U156" s="164"/>
      <c r="V156" s="164"/>
      <c r="W156" s="164"/>
      <c r="X156" s="170"/>
      <c r="Y156" s="170"/>
      <c r="Z156" s="170"/>
      <c r="AA156" s="170"/>
      <c r="AB156" s="170"/>
      <c r="AC156" s="170"/>
      <c r="AD156" s="170"/>
      <c r="AE156" s="170"/>
      <c r="AF156" s="131"/>
      <c r="AG156" s="131"/>
      <c r="AH156" s="132"/>
      <c r="AI156" s="132"/>
      <c r="AJ156" s="132"/>
      <c r="AK156" s="19"/>
      <c r="AL156" s="47"/>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3"/>
      <c r="BT156" s="163"/>
      <c r="BU156" s="163"/>
      <c r="BV156" s="19"/>
      <c r="BW156" s="89"/>
      <c r="BX156" s="8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43"/>
      <c r="DH156" s="43"/>
      <c r="DI156" s="74"/>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51"/>
      <c r="ER156" s="74"/>
      <c r="ES156" s="200"/>
      <c r="ET156" s="200"/>
      <c r="EU156" s="200"/>
      <c r="EV156" s="200"/>
      <c r="EW156" s="200"/>
      <c r="EX156" s="180"/>
      <c r="EY156" s="200"/>
      <c r="EZ156" s="200"/>
      <c r="FA156" s="200"/>
      <c r="FB156" s="200"/>
      <c r="FC156" s="200"/>
      <c r="FD156" s="200"/>
      <c r="FE156" s="200"/>
      <c r="FF156" s="200"/>
      <c r="FG156" s="200"/>
      <c r="FH156" s="200"/>
      <c r="FI156" s="200"/>
      <c r="FJ156" s="200"/>
      <c r="FK156" s="200"/>
      <c r="FL156" s="200"/>
      <c r="FM156" s="200"/>
      <c r="FN156" s="200"/>
      <c r="FO156" s="200"/>
      <c r="FP156" s="200"/>
      <c r="FQ156" s="200"/>
      <c r="FR156" s="200"/>
      <c r="FS156" s="200"/>
      <c r="FT156" s="200"/>
      <c r="FU156" s="64"/>
      <c r="FV156" s="201"/>
      <c r="FW156" s="201"/>
      <c r="FX156" s="201"/>
      <c r="FY156" s="201"/>
      <c r="FZ156" s="201"/>
      <c r="GA156" s="19"/>
      <c r="GB156" s="45"/>
    </row>
    <row r="157" spans="1:184" ht="7.5" customHeight="1">
      <c r="A157" s="43"/>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47"/>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9"/>
      <c r="BW157" s="89"/>
      <c r="BX157" s="89"/>
      <c r="BY157" s="165" t="s">
        <v>69</v>
      </c>
      <c r="BZ157" s="165"/>
      <c r="CA157" s="165"/>
      <c r="CB157" s="165"/>
      <c r="CC157" s="165"/>
      <c r="CD157" s="165"/>
      <c r="CE157" s="165"/>
      <c r="CF157" s="165"/>
      <c r="CG157" s="165"/>
      <c r="CH157" s="211">
        <f>IF(AND(ISNUMBER(CH154),CK145&gt;0,AB170&gt;0),((CK145-(3.0378-5.0062*10^-2*(AB170*1.8+32)+2.6555*10^-4*(AB170*1.8+32)^2))/0.286)*CH154,"")</f>
      </c>
      <c r="CI157" s="211"/>
      <c r="CJ157" s="211"/>
      <c r="CK157" s="211"/>
      <c r="CL157" s="132" t="s">
        <v>71</v>
      </c>
      <c r="CM157" s="132"/>
      <c r="CN157" s="132"/>
      <c r="CO157" s="132"/>
      <c r="CP157" s="132"/>
      <c r="CQ157" s="223">
        <f>IF(ISNUMBER(CH157),CH157*0.03527396194958,"")</f>
      </c>
      <c r="CR157" s="223"/>
      <c r="CS157" s="223"/>
      <c r="CT157" s="223"/>
      <c r="CU157" s="132" t="s">
        <v>70</v>
      </c>
      <c r="CV157" s="132"/>
      <c r="CW157" s="132"/>
      <c r="CX157" s="132"/>
      <c r="CY157" s="132"/>
      <c r="CZ157" s="132"/>
      <c r="DA157" s="132"/>
      <c r="DB157" s="132"/>
      <c r="DC157" s="132"/>
      <c r="DD157" s="132"/>
      <c r="DE157" s="132"/>
      <c r="DF157" s="132"/>
      <c r="DG157" s="43"/>
      <c r="DH157" s="43"/>
      <c r="DI157" s="91">
        <f>SUM(DI133:DI155)</f>
        <v>510.3461780453308</v>
      </c>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51"/>
      <c r="ER157" s="130">
        <f>SUM(ER133:ER154)</f>
        <v>0</v>
      </c>
      <c r="ES157" s="200"/>
      <c r="ET157" s="200"/>
      <c r="EU157" s="200"/>
      <c r="EV157" s="200"/>
      <c r="EW157" s="200"/>
      <c r="EX157" s="180"/>
      <c r="EY157" s="200"/>
      <c r="EZ157" s="200"/>
      <c r="FA157" s="200"/>
      <c r="FB157" s="200"/>
      <c r="FC157" s="200"/>
      <c r="FD157" s="200"/>
      <c r="FE157" s="200"/>
      <c r="FF157" s="200"/>
      <c r="FG157" s="200"/>
      <c r="FH157" s="200"/>
      <c r="FI157" s="200"/>
      <c r="FJ157" s="200"/>
      <c r="FK157" s="200"/>
      <c r="FL157" s="200"/>
      <c r="FM157" s="200"/>
      <c r="FN157" s="200"/>
      <c r="FO157" s="200"/>
      <c r="FP157" s="200"/>
      <c r="FQ157" s="200"/>
      <c r="FR157" s="200"/>
      <c r="FS157" s="200"/>
      <c r="FT157" s="200"/>
      <c r="FU157" s="64"/>
      <c r="FV157" s="201"/>
      <c r="FW157" s="201"/>
      <c r="FX157" s="201"/>
      <c r="FY157" s="201"/>
      <c r="FZ157" s="201"/>
      <c r="GA157" s="19"/>
      <c r="GB157" s="45"/>
    </row>
    <row r="158" spans="1:184" ht="7.5" customHeight="1">
      <c r="A158" s="43"/>
      <c r="B158" s="170" t="s">
        <v>171</v>
      </c>
      <c r="C158" s="170"/>
      <c r="D158" s="170"/>
      <c r="E158" s="170"/>
      <c r="F158" s="170"/>
      <c r="G158" s="170"/>
      <c r="H158" s="170"/>
      <c r="I158" s="170"/>
      <c r="J158" s="170"/>
      <c r="K158" s="157"/>
      <c r="L158" s="157"/>
      <c r="M158" s="157"/>
      <c r="N158" s="157"/>
      <c r="O158" s="157"/>
      <c r="P158" s="157"/>
      <c r="Q158" s="157"/>
      <c r="R158" s="157"/>
      <c r="S158" s="157"/>
      <c r="T158" s="157"/>
      <c r="U158" s="157"/>
      <c r="V158" s="157"/>
      <c r="W158" s="157"/>
      <c r="X158" s="157"/>
      <c r="Y158" s="157"/>
      <c r="Z158" s="165" t="s">
        <v>170</v>
      </c>
      <c r="AA158" s="165"/>
      <c r="AB158" s="165"/>
      <c r="AC158" s="165"/>
      <c r="AD158" s="165"/>
      <c r="AE158" s="165"/>
      <c r="AF158" s="131"/>
      <c r="AG158" s="131"/>
      <c r="AH158" s="132" t="s">
        <v>161</v>
      </c>
      <c r="AI158" s="132"/>
      <c r="AJ158" s="132"/>
      <c r="AK158" s="19"/>
      <c r="AL158" s="47"/>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9"/>
      <c r="BW158" s="89"/>
      <c r="BX158" s="89"/>
      <c r="BY158" s="165"/>
      <c r="BZ158" s="165"/>
      <c r="CA158" s="165"/>
      <c r="CB158" s="165"/>
      <c r="CC158" s="165"/>
      <c r="CD158" s="165"/>
      <c r="CE158" s="165"/>
      <c r="CF158" s="165"/>
      <c r="CG158" s="165"/>
      <c r="CH158" s="211"/>
      <c r="CI158" s="211"/>
      <c r="CJ158" s="211"/>
      <c r="CK158" s="211"/>
      <c r="CL158" s="132"/>
      <c r="CM158" s="132"/>
      <c r="CN158" s="132"/>
      <c r="CO158" s="132"/>
      <c r="CP158" s="132"/>
      <c r="CQ158" s="223"/>
      <c r="CR158" s="223"/>
      <c r="CS158" s="223"/>
      <c r="CT158" s="223"/>
      <c r="CU158" s="132"/>
      <c r="CV158" s="132"/>
      <c r="CW158" s="132"/>
      <c r="CX158" s="132"/>
      <c r="CY158" s="132"/>
      <c r="CZ158" s="132"/>
      <c r="DA158" s="132"/>
      <c r="DB158" s="132"/>
      <c r="DC158" s="132"/>
      <c r="DD158" s="132"/>
      <c r="DE158" s="132"/>
      <c r="DF158" s="132"/>
      <c r="DG158" s="43"/>
      <c r="DH158" s="43"/>
      <c r="DI158" s="199" t="s">
        <v>379</v>
      </c>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51"/>
      <c r="ER158" s="130"/>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19"/>
      <c r="GB158" s="45"/>
    </row>
    <row r="159" spans="1:184" ht="7.5" customHeight="1">
      <c r="A159" s="43"/>
      <c r="B159" s="170"/>
      <c r="C159" s="170"/>
      <c r="D159" s="170"/>
      <c r="E159" s="170"/>
      <c r="F159" s="170"/>
      <c r="G159" s="170"/>
      <c r="H159" s="170"/>
      <c r="I159" s="170"/>
      <c r="J159" s="170"/>
      <c r="K159" s="157"/>
      <c r="L159" s="157"/>
      <c r="M159" s="157"/>
      <c r="N159" s="157"/>
      <c r="O159" s="157"/>
      <c r="P159" s="157"/>
      <c r="Q159" s="157"/>
      <c r="R159" s="157"/>
      <c r="S159" s="157"/>
      <c r="T159" s="157"/>
      <c r="U159" s="157"/>
      <c r="V159" s="157"/>
      <c r="W159" s="157"/>
      <c r="X159" s="157"/>
      <c r="Y159" s="157"/>
      <c r="Z159" s="165"/>
      <c r="AA159" s="165"/>
      <c r="AB159" s="165"/>
      <c r="AC159" s="165"/>
      <c r="AD159" s="165"/>
      <c r="AE159" s="165"/>
      <c r="AF159" s="131"/>
      <c r="AG159" s="131"/>
      <c r="AH159" s="132"/>
      <c r="AI159" s="132"/>
      <c r="AJ159" s="132"/>
      <c r="AK159" s="19"/>
      <c r="AL159" s="47"/>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c r="BT159" s="163"/>
      <c r="BU159" s="163"/>
      <c r="BV159" s="19"/>
      <c r="BW159" s="89"/>
      <c r="BX159" s="89"/>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3"/>
      <c r="DH159" s="43"/>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51"/>
      <c r="ER159" s="74"/>
      <c r="ES159" s="200"/>
      <c r="ET159" s="200"/>
      <c r="EU159" s="200"/>
      <c r="EV159" s="200"/>
      <c r="EW159" s="200"/>
      <c r="EX159" s="180"/>
      <c r="EY159" s="200"/>
      <c r="EZ159" s="200"/>
      <c r="FA159" s="200"/>
      <c r="FB159" s="200"/>
      <c r="FC159" s="200"/>
      <c r="FD159" s="200"/>
      <c r="FE159" s="200"/>
      <c r="FF159" s="200"/>
      <c r="FG159" s="200"/>
      <c r="FH159" s="200"/>
      <c r="FI159" s="200"/>
      <c r="FJ159" s="200"/>
      <c r="FK159" s="200"/>
      <c r="FL159" s="200"/>
      <c r="FM159" s="200"/>
      <c r="FN159" s="200"/>
      <c r="FO159" s="200"/>
      <c r="FP159" s="200"/>
      <c r="FQ159" s="200"/>
      <c r="FR159" s="200"/>
      <c r="FS159" s="200"/>
      <c r="FT159" s="200"/>
      <c r="FU159" s="64"/>
      <c r="FV159" s="201"/>
      <c r="FW159" s="201"/>
      <c r="FX159" s="201"/>
      <c r="FY159" s="201"/>
      <c r="FZ159" s="201"/>
      <c r="GA159" s="19"/>
      <c r="GB159" s="291"/>
    </row>
    <row r="160" spans="1:184" ht="7.5" customHeight="1">
      <c r="A160" s="43"/>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47"/>
      <c r="AM160" s="163"/>
      <c r="AN160" s="163"/>
      <c r="AO160" s="163"/>
      <c r="AP160" s="163"/>
      <c r="AQ160" s="163"/>
      <c r="AR160" s="163"/>
      <c r="AS160" s="163"/>
      <c r="AT160" s="163"/>
      <c r="AU160" s="163"/>
      <c r="AV160" s="163"/>
      <c r="AW160" s="163"/>
      <c r="AX160" s="163"/>
      <c r="AY160" s="163"/>
      <c r="AZ160" s="163"/>
      <c r="BA160" s="163"/>
      <c r="BB160" s="163"/>
      <c r="BC160" s="163"/>
      <c r="BD160" s="163"/>
      <c r="BE160" s="163"/>
      <c r="BF160" s="163"/>
      <c r="BG160" s="163"/>
      <c r="BH160" s="163"/>
      <c r="BI160" s="163"/>
      <c r="BJ160" s="163"/>
      <c r="BK160" s="163"/>
      <c r="BL160" s="163"/>
      <c r="BM160" s="163"/>
      <c r="BN160" s="163"/>
      <c r="BO160" s="163"/>
      <c r="BP160" s="163"/>
      <c r="BQ160" s="163"/>
      <c r="BR160" s="163"/>
      <c r="BS160" s="163"/>
      <c r="BT160" s="163"/>
      <c r="BU160" s="163"/>
      <c r="BV160" s="19"/>
      <c r="BW160" s="89"/>
      <c r="BX160" s="89"/>
      <c r="BY160" s="170" t="s">
        <v>100</v>
      </c>
      <c r="BZ160" s="170"/>
      <c r="CA160" s="170"/>
      <c r="CB160" s="170"/>
      <c r="CC160" s="170"/>
      <c r="CD160" s="170"/>
      <c r="CE160" s="170"/>
      <c r="CF160" s="170"/>
      <c r="CG160" s="170"/>
      <c r="CH160" s="292"/>
      <c r="CI160" s="292"/>
      <c r="CJ160" s="292"/>
      <c r="CK160" s="292"/>
      <c r="CL160" s="132" t="s">
        <v>75</v>
      </c>
      <c r="CM160" s="132"/>
      <c r="CN160" s="132"/>
      <c r="CO160" s="144">
        <f>IF(ISNUMBER(CH160),CH160*0.2641720523582,"")</f>
      </c>
      <c r="CP160" s="144"/>
      <c r="CQ160" s="144"/>
      <c r="CR160" s="153" t="s">
        <v>51</v>
      </c>
      <c r="CS160" s="153"/>
      <c r="CT160" s="162" t="s">
        <v>182</v>
      </c>
      <c r="CU160" s="162"/>
      <c r="CV160" s="162"/>
      <c r="CW160" s="162"/>
      <c r="CX160" s="162"/>
      <c r="CY160" s="162"/>
      <c r="CZ160" s="162"/>
      <c r="DA160" s="194">
        <f>IF(AND(CK145&gt;0,K185&gt;0,CH160&gt;0),-16.6999-0.0101059*P185+0.00116512*P185^2+0.173354*P185*CK145+4.24267*CK145-0.0684226*CK145^2,"")</f>
      </c>
      <c r="DB160" s="194"/>
      <c r="DC160" s="194"/>
      <c r="DD160" s="267" t="s">
        <v>99</v>
      </c>
      <c r="DE160" s="267"/>
      <c r="DF160" s="267"/>
      <c r="DG160" s="43"/>
      <c r="DH160" s="43"/>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51"/>
      <c r="ER160" s="19"/>
      <c r="ES160" s="200"/>
      <c r="ET160" s="200"/>
      <c r="EU160" s="200"/>
      <c r="EV160" s="200"/>
      <c r="EW160" s="200"/>
      <c r="EX160" s="180"/>
      <c r="EY160" s="200"/>
      <c r="EZ160" s="200"/>
      <c r="FA160" s="200"/>
      <c r="FB160" s="200"/>
      <c r="FC160" s="200"/>
      <c r="FD160" s="200"/>
      <c r="FE160" s="200"/>
      <c r="FF160" s="200"/>
      <c r="FG160" s="200"/>
      <c r="FH160" s="200"/>
      <c r="FI160" s="200"/>
      <c r="FJ160" s="200"/>
      <c r="FK160" s="200"/>
      <c r="FL160" s="200"/>
      <c r="FM160" s="200"/>
      <c r="FN160" s="200"/>
      <c r="FO160" s="200"/>
      <c r="FP160" s="200"/>
      <c r="FQ160" s="200"/>
      <c r="FR160" s="200"/>
      <c r="FS160" s="200"/>
      <c r="FT160" s="200"/>
      <c r="FU160" s="64"/>
      <c r="FV160" s="201"/>
      <c r="FW160" s="201"/>
      <c r="FX160" s="201"/>
      <c r="FY160" s="201"/>
      <c r="FZ160" s="201"/>
      <c r="GA160" s="19"/>
      <c r="GB160" s="291"/>
    </row>
    <row r="161" spans="1:184" ht="7.5" customHeight="1">
      <c r="A161" s="43"/>
      <c r="B161" s="165" t="s">
        <v>167</v>
      </c>
      <c r="C161" s="165"/>
      <c r="D161" s="165"/>
      <c r="E161" s="165"/>
      <c r="F161" s="165"/>
      <c r="G161" s="165"/>
      <c r="H161" s="165"/>
      <c r="I161" s="165"/>
      <c r="J161" s="165"/>
      <c r="K161" s="216"/>
      <c r="L161" s="216"/>
      <c r="M161" s="216"/>
      <c r="N161" s="132" t="s">
        <v>32</v>
      </c>
      <c r="O161" s="132"/>
      <c r="P161" s="132">
        <f>IF(ISNUMBER(K161),K161*9/5+32,"")</f>
      </c>
      <c r="Q161" s="132"/>
      <c r="R161" s="132"/>
      <c r="S161" s="132"/>
      <c r="T161" s="164" t="s">
        <v>33</v>
      </c>
      <c r="U161" s="164"/>
      <c r="V161" s="165" t="s">
        <v>169</v>
      </c>
      <c r="W161" s="165"/>
      <c r="X161" s="165"/>
      <c r="Y161" s="165"/>
      <c r="Z161" s="165"/>
      <c r="AA161" s="165"/>
      <c r="AB161" s="165"/>
      <c r="AC161" s="165"/>
      <c r="AD161" s="165"/>
      <c r="AE161" s="131"/>
      <c r="AF161" s="131"/>
      <c r="AG161" s="131"/>
      <c r="AH161" s="164" t="s">
        <v>168</v>
      </c>
      <c r="AI161" s="164"/>
      <c r="AJ161" s="164"/>
      <c r="AK161" s="164"/>
      <c r="AL161" s="47"/>
      <c r="AM161" s="163"/>
      <c r="AN161" s="163"/>
      <c r="AO161" s="163"/>
      <c r="AP161" s="163"/>
      <c r="AQ161" s="163"/>
      <c r="AR161" s="163"/>
      <c r="AS161" s="163"/>
      <c r="AT161" s="163"/>
      <c r="AU161" s="163"/>
      <c r="AV161" s="163"/>
      <c r="AW161" s="163"/>
      <c r="AX161" s="163"/>
      <c r="AY161" s="163"/>
      <c r="AZ161" s="163"/>
      <c r="BA161" s="163"/>
      <c r="BB161" s="163"/>
      <c r="BC161" s="163"/>
      <c r="BD161" s="163"/>
      <c r="BE161" s="163"/>
      <c r="BF161" s="163"/>
      <c r="BG161" s="163"/>
      <c r="BH161" s="163"/>
      <c r="BI161" s="163"/>
      <c r="BJ161" s="163"/>
      <c r="BK161" s="163"/>
      <c r="BL161" s="163"/>
      <c r="BM161" s="163"/>
      <c r="BN161" s="163"/>
      <c r="BO161" s="163"/>
      <c r="BP161" s="163"/>
      <c r="BQ161" s="163"/>
      <c r="BR161" s="163"/>
      <c r="BS161" s="163"/>
      <c r="BT161" s="163"/>
      <c r="BU161" s="163"/>
      <c r="BV161" s="19"/>
      <c r="BW161" s="89"/>
      <c r="BX161" s="89"/>
      <c r="BY161" s="170"/>
      <c r="BZ161" s="170"/>
      <c r="CA161" s="170"/>
      <c r="CB161" s="170"/>
      <c r="CC161" s="170"/>
      <c r="CD161" s="170"/>
      <c r="CE161" s="170"/>
      <c r="CF161" s="170"/>
      <c r="CG161" s="170"/>
      <c r="CH161" s="292"/>
      <c r="CI161" s="292"/>
      <c r="CJ161" s="292"/>
      <c r="CK161" s="292"/>
      <c r="CL161" s="132"/>
      <c r="CM161" s="132"/>
      <c r="CN161" s="132"/>
      <c r="CO161" s="144"/>
      <c r="CP161" s="144"/>
      <c r="CQ161" s="144"/>
      <c r="CR161" s="153"/>
      <c r="CS161" s="153"/>
      <c r="CT161" s="162"/>
      <c r="CU161" s="162"/>
      <c r="CV161" s="162"/>
      <c r="CW161" s="162"/>
      <c r="CX161" s="162"/>
      <c r="CY161" s="162"/>
      <c r="CZ161" s="162"/>
      <c r="DA161" s="194"/>
      <c r="DB161" s="194"/>
      <c r="DC161" s="194"/>
      <c r="DD161" s="267"/>
      <c r="DE161" s="267"/>
      <c r="DF161" s="267"/>
      <c r="DG161" s="43"/>
      <c r="DH161" s="43"/>
      <c r="DI161" s="130" t="s">
        <v>134</v>
      </c>
      <c r="DJ161" s="143" t="s">
        <v>14</v>
      </c>
      <c r="DK161" s="143"/>
      <c r="DL161" s="143"/>
      <c r="DM161" s="143"/>
      <c r="DN161" s="143"/>
      <c r="DO161" s="143"/>
      <c r="DP161" s="143"/>
      <c r="DQ161" s="143"/>
      <c r="DR161" s="143"/>
      <c r="DS161" s="143"/>
      <c r="DT161" s="143"/>
      <c r="DU161" s="143"/>
      <c r="DV161" s="143" t="s">
        <v>80</v>
      </c>
      <c r="DW161" s="143"/>
      <c r="DX161" s="143"/>
      <c r="DY161" s="70"/>
      <c r="DZ161" s="19"/>
      <c r="EA161" s="143" t="s">
        <v>81</v>
      </c>
      <c r="EB161" s="143"/>
      <c r="EC161" s="143"/>
      <c r="ED161" s="19"/>
      <c r="EE161" s="143" t="s">
        <v>82</v>
      </c>
      <c r="EF161" s="143"/>
      <c r="EG161" s="143"/>
      <c r="EH161" s="143"/>
      <c r="EI161" s="143"/>
      <c r="EJ161" s="143" t="s">
        <v>82</v>
      </c>
      <c r="EK161" s="143"/>
      <c r="EL161" s="143"/>
      <c r="EM161" s="143"/>
      <c r="EN161" s="143"/>
      <c r="EO161" s="19"/>
      <c r="EP161" s="19"/>
      <c r="EQ161" s="51"/>
      <c r="ER161" s="19"/>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19"/>
      <c r="GB161" s="77"/>
    </row>
    <row r="162" spans="1:184" ht="7.5" customHeight="1">
      <c r="A162" s="43"/>
      <c r="B162" s="165"/>
      <c r="C162" s="165"/>
      <c r="D162" s="165"/>
      <c r="E162" s="165"/>
      <c r="F162" s="165"/>
      <c r="G162" s="165"/>
      <c r="H162" s="165"/>
      <c r="I162" s="165"/>
      <c r="J162" s="165"/>
      <c r="K162" s="216"/>
      <c r="L162" s="216"/>
      <c r="M162" s="216"/>
      <c r="N162" s="132"/>
      <c r="O162" s="132"/>
      <c r="P162" s="132"/>
      <c r="Q162" s="132"/>
      <c r="R162" s="132"/>
      <c r="S162" s="132"/>
      <c r="T162" s="164"/>
      <c r="U162" s="164"/>
      <c r="V162" s="165"/>
      <c r="W162" s="165"/>
      <c r="X162" s="165"/>
      <c r="Y162" s="165"/>
      <c r="Z162" s="165"/>
      <c r="AA162" s="165"/>
      <c r="AB162" s="165"/>
      <c r="AC162" s="165"/>
      <c r="AD162" s="165"/>
      <c r="AE162" s="131"/>
      <c r="AF162" s="131"/>
      <c r="AG162" s="131"/>
      <c r="AH162" s="164"/>
      <c r="AI162" s="164"/>
      <c r="AJ162" s="164"/>
      <c r="AK162" s="164"/>
      <c r="AL162" s="47"/>
      <c r="AM162" s="163"/>
      <c r="AN162" s="163"/>
      <c r="AO162" s="163"/>
      <c r="AP162" s="163"/>
      <c r="AQ162" s="163"/>
      <c r="AR162" s="163"/>
      <c r="AS162" s="163"/>
      <c r="AT162" s="163"/>
      <c r="AU162" s="163"/>
      <c r="AV162" s="163"/>
      <c r="AW162" s="163"/>
      <c r="AX162" s="163"/>
      <c r="AY162" s="163"/>
      <c r="AZ162" s="163"/>
      <c r="BA162" s="163"/>
      <c r="BB162" s="163"/>
      <c r="BC162" s="163"/>
      <c r="BD162" s="163"/>
      <c r="BE162" s="163"/>
      <c r="BF162" s="163"/>
      <c r="BG162" s="163"/>
      <c r="BH162" s="163"/>
      <c r="BI162" s="163"/>
      <c r="BJ162" s="163"/>
      <c r="BK162" s="163"/>
      <c r="BL162" s="163"/>
      <c r="BM162" s="163"/>
      <c r="BN162" s="163"/>
      <c r="BO162" s="163"/>
      <c r="BP162" s="163"/>
      <c r="BQ162" s="163"/>
      <c r="BR162" s="163"/>
      <c r="BS162" s="163"/>
      <c r="BT162" s="163"/>
      <c r="BU162" s="163"/>
      <c r="BV162" s="19"/>
      <c r="BW162" s="89"/>
      <c r="BX162" s="89"/>
      <c r="BY162" s="19"/>
      <c r="BZ162" s="19"/>
      <c r="CA162" s="19"/>
      <c r="CB162" s="19"/>
      <c r="CC162" s="19"/>
      <c r="CD162" s="19"/>
      <c r="CE162" s="19"/>
      <c r="CF162" s="19"/>
      <c r="CG162" s="19"/>
      <c r="CH162" s="19"/>
      <c r="CI162" s="19"/>
      <c r="CJ162" s="19"/>
      <c r="CK162" s="19"/>
      <c r="CL162" s="19"/>
      <c r="CM162" s="19"/>
      <c r="CN162" s="19"/>
      <c r="CO162" s="19"/>
      <c r="CP162" s="19"/>
      <c r="CQ162" s="81"/>
      <c r="CR162" s="19"/>
      <c r="CS162" s="19"/>
      <c r="CT162" s="19"/>
      <c r="CU162" s="19"/>
      <c r="CV162" s="19"/>
      <c r="CW162" s="19"/>
      <c r="CX162" s="19"/>
      <c r="CY162" s="19"/>
      <c r="CZ162" s="19"/>
      <c r="DA162" s="19"/>
      <c r="DB162" s="19"/>
      <c r="DC162" s="19"/>
      <c r="DD162" s="19"/>
      <c r="DE162" s="19"/>
      <c r="DF162" s="19"/>
      <c r="DG162" s="43"/>
      <c r="DH162" s="43"/>
      <c r="DI162" s="130"/>
      <c r="DJ162" s="143"/>
      <c r="DK162" s="143"/>
      <c r="DL162" s="143"/>
      <c r="DM162" s="143"/>
      <c r="DN162" s="143"/>
      <c r="DO162" s="143"/>
      <c r="DP162" s="143"/>
      <c r="DQ162" s="143"/>
      <c r="DR162" s="143"/>
      <c r="DS162" s="143"/>
      <c r="DT162" s="143"/>
      <c r="DU162" s="143"/>
      <c r="DV162" s="143"/>
      <c r="DW162" s="143"/>
      <c r="DX162" s="143"/>
      <c r="DY162" s="70"/>
      <c r="DZ162" s="19"/>
      <c r="EA162" s="143"/>
      <c r="EB162" s="143"/>
      <c r="EC162" s="143"/>
      <c r="ED162" s="19"/>
      <c r="EE162" s="143"/>
      <c r="EF162" s="143"/>
      <c r="EG162" s="143"/>
      <c r="EH162" s="143"/>
      <c r="EI162" s="143"/>
      <c r="EJ162" s="143"/>
      <c r="EK162" s="143"/>
      <c r="EL162" s="143"/>
      <c r="EM162" s="143"/>
      <c r="EN162" s="143"/>
      <c r="EO162" s="19"/>
      <c r="EP162" s="19"/>
      <c r="EQ162" s="51"/>
      <c r="ER162" s="19"/>
      <c r="ES162" s="200"/>
      <c r="ET162" s="200"/>
      <c r="EU162" s="200"/>
      <c r="EV162" s="200"/>
      <c r="EW162" s="200"/>
      <c r="EX162" s="180"/>
      <c r="EY162" s="200"/>
      <c r="EZ162" s="200"/>
      <c r="FA162" s="200"/>
      <c r="FB162" s="200"/>
      <c r="FC162" s="200"/>
      <c r="FD162" s="200"/>
      <c r="FE162" s="200"/>
      <c r="FF162" s="200"/>
      <c r="FG162" s="200"/>
      <c r="FH162" s="200"/>
      <c r="FI162" s="200"/>
      <c r="FJ162" s="200"/>
      <c r="FK162" s="200"/>
      <c r="FL162" s="200"/>
      <c r="FM162" s="200"/>
      <c r="FN162" s="200"/>
      <c r="FO162" s="200"/>
      <c r="FP162" s="200"/>
      <c r="FQ162" s="200"/>
      <c r="FR162" s="200"/>
      <c r="FS162" s="200"/>
      <c r="FT162" s="200"/>
      <c r="FU162" s="64"/>
      <c r="FV162" s="201"/>
      <c r="FW162" s="201"/>
      <c r="FX162" s="201"/>
      <c r="FY162" s="201"/>
      <c r="FZ162" s="201"/>
      <c r="GA162" s="19"/>
      <c r="GB162" s="43"/>
    </row>
    <row r="163" spans="1:184" ht="7.5" customHeight="1">
      <c r="A163" s="43"/>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47"/>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19"/>
      <c r="BW163" s="89"/>
      <c r="BX163" s="89"/>
      <c r="BY163" s="165" t="s">
        <v>98</v>
      </c>
      <c r="BZ163" s="165"/>
      <c r="CA163" s="165"/>
      <c r="CB163" s="165"/>
      <c r="CC163" s="165"/>
      <c r="CD163" s="165"/>
      <c r="CE163" s="165"/>
      <c r="CF163" s="165"/>
      <c r="CG163" s="165"/>
      <c r="CH163" s="211">
        <f>IF(AND(ISNUMBER(CH160),CK145&gt;0,AB170&gt;0),((CK145-(3.0378-5.0062*10^-2*(AB170*1.8+32)+2.6555*10^-4*(AB170*1.8+32)^2))/0.286)*CH160*0.75,"")</f>
      </c>
      <c r="CI163" s="211"/>
      <c r="CJ163" s="211"/>
      <c r="CK163" s="211"/>
      <c r="CL163" s="132" t="s">
        <v>71</v>
      </c>
      <c r="CM163" s="132"/>
      <c r="CN163" s="132"/>
      <c r="CO163" s="132"/>
      <c r="CP163" s="132"/>
      <c r="CQ163" s="150">
        <f>IF(ISNUMBER(CH163),CH163*0.03527396194958,"")</f>
      </c>
      <c r="CR163" s="150"/>
      <c r="CS163" s="150"/>
      <c r="CT163" s="150"/>
      <c r="CU163" s="132" t="s">
        <v>70</v>
      </c>
      <c r="CV163" s="132"/>
      <c r="CW163" s="132"/>
      <c r="CX163" s="132"/>
      <c r="CY163" s="132"/>
      <c r="CZ163" s="132"/>
      <c r="DA163" s="132"/>
      <c r="DB163" s="132"/>
      <c r="DC163" s="132"/>
      <c r="DD163" s="132"/>
      <c r="DE163" s="132"/>
      <c r="DF163" s="132"/>
      <c r="DG163" s="43"/>
      <c r="DH163" s="43"/>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51"/>
      <c r="ER163" s="19"/>
      <c r="ES163" s="200"/>
      <c r="ET163" s="200"/>
      <c r="EU163" s="200"/>
      <c r="EV163" s="200"/>
      <c r="EW163" s="200"/>
      <c r="EX163" s="180"/>
      <c r="EY163" s="200"/>
      <c r="EZ163" s="200"/>
      <c r="FA163" s="200"/>
      <c r="FB163" s="200"/>
      <c r="FC163" s="200"/>
      <c r="FD163" s="200"/>
      <c r="FE163" s="200"/>
      <c r="FF163" s="200"/>
      <c r="FG163" s="200"/>
      <c r="FH163" s="200"/>
      <c r="FI163" s="200"/>
      <c r="FJ163" s="200"/>
      <c r="FK163" s="200"/>
      <c r="FL163" s="200"/>
      <c r="FM163" s="200"/>
      <c r="FN163" s="200"/>
      <c r="FO163" s="200"/>
      <c r="FP163" s="200"/>
      <c r="FQ163" s="200"/>
      <c r="FR163" s="200"/>
      <c r="FS163" s="200"/>
      <c r="FT163" s="200"/>
      <c r="FU163" s="64"/>
      <c r="FV163" s="201"/>
      <c r="FW163" s="201"/>
      <c r="FX163" s="201"/>
      <c r="FY163" s="201"/>
      <c r="FZ163" s="201"/>
      <c r="GA163" s="19"/>
      <c r="GB163" s="43"/>
    </row>
    <row r="164" spans="1:184" ht="7.5" customHeight="1">
      <c r="A164" s="43"/>
      <c r="B164" s="165" t="s">
        <v>191</v>
      </c>
      <c r="C164" s="165"/>
      <c r="D164" s="165"/>
      <c r="E164" s="165"/>
      <c r="F164" s="165"/>
      <c r="G164" s="165"/>
      <c r="H164" s="165"/>
      <c r="I164" s="165"/>
      <c r="J164" s="165"/>
      <c r="K164" s="216"/>
      <c r="L164" s="216"/>
      <c r="M164" s="216"/>
      <c r="N164" s="132" t="s">
        <v>32</v>
      </c>
      <c r="O164" s="132"/>
      <c r="P164" s="132">
        <f>IF(ISNUMBER(K164),K164*9/5+32,"")</f>
      </c>
      <c r="Q164" s="132"/>
      <c r="R164" s="132"/>
      <c r="S164" s="132"/>
      <c r="T164" s="164" t="s">
        <v>33</v>
      </c>
      <c r="U164" s="164"/>
      <c r="V164" s="154" t="str">
        <f>IF(K164="","Check temp before pitching.",IF(K164&gt;AB170,"Secondary chilling required...",IF(K164&lt;AB170,"You are good to pitch.","")))</f>
        <v>Check temp before pitching.</v>
      </c>
      <c r="W164" s="154"/>
      <c r="X164" s="154"/>
      <c r="Y164" s="154"/>
      <c r="Z164" s="154"/>
      <c r="AA164" s="154"/>
      <c r="AB164" s="154"/>
      <c r="AC164" s="154"/>
      <c r="AD164" s="154"/>
      <c r="AE164" s="154"/>
      <c r="AF164" s="154"/>
      <c r="AG164" s="154"/>
      <c r="AH164" s="154"/>
      <c r="AI164" s="154"/>
      <c r="AJ164" s="154"/>
      <c r="AK164" s="154"/>
      <c r="AL164" s="47"/>
      <c r="AM164" s="164" t="s">
        <v>192</v>
      </c>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31"/>
      <c r="BP164" s="131"/>
      <c r="BQ164" s="131"/>
      <c r="BR164" s="164" t="s">
        <v>168</v>
      </c>
      <c r="BS164" s="164"/>
      <c r="BT164" s="164"/>
      <c r="BU164" s="164"/>
      <c r="BV164" s="19"/>
      <c r="BW164" s="89"/>
      <c r="BX164" s="89"/>
      <c r="BY164" s="165"/>
      <c r="BZ164" s="165"/>
      <c r="CA164" s="165"/>
      <c r="CB164" s="165"/>
      <c r="CC164" s="165"/>
      <c r="CD164" s="165"/>
      <c r="CE164" s="165"/>
      <c r="CF164" s="165"/>
      <c r="CG164" s="165"/>
      <c r="CH164" s="211"/>
      <c r="CI164" s="211"/>
      <c r="CJ164" s="211"/>
      <c r="CK164" s="211"/>
      <c r="CL164" s="132"/>
      <c r="CM164" s="132"/>
      <c r="CN164" s="132"/>
      <c r="CO164" s="132"/>
      <c r="CP164" s="132"/>
      <c r="CQ164" s="150"/>
      <c r="CR164" s="150"/>
      <c r="CS164" s="150"/>
      <c r="CT164" s="150"/>
      <c r="CU164" s="132"/>
      <c r="CV164" s="132"/>
      <c r="CW164" s="132"/>
      <c r="CX164" s="132"/>
      <c r="CY164" s="132"/>
      <c r="CZ164" s="132"/>
      <c r="DA164" s="132"/>
      <c r="DB164" s="132"/>
      <c r="DC164" s="132"/>
      <c r="DD164" s="132"/>
      <c r="DE164" s="132"/>
      <c r="DF164" s="132"/>
      <c r="DG164" s="43"/>
      <c r="DH164" s="133">
        <f>IF(AND(DV164&gt;0,ISNUMBER(EA164)),DV164*(100-EA164)/100*0.46214,EK133)</f>
      </c>
      <c r="DI164" s="130">
        <f>IF(AND(ISNUMBER(EQ133),ISNUMBER($DI$188)),EQ133/100*$DI$188,"")</f>
        <v>197.8675054568679</v>
      </c>
      <c r="DJ164" s="289">
        <f>IF(AM55&gt;0,AM55,"")</f>
      </c>
      <c r="DK164" s="289"/>
      <c r="DL164" s="289"/>
      <c r="DM164" s="289"/>
      <c r="DN164" s="289"/>
      <c r="DO164" s="289"/>
      <c r="DP164" s="289"/>
      <c r="DQ164" s="289"/>
      <c r="DR164" s="289"/>
      <c r="DS164" s="289"/>
      <c r="DT164" s="289"/>
      <c r="DU164" s="289"/>
      <c r="DV164" s="204"/>
      <c r="DW164" s="204"/>
      <c r="DX164" s="204"/>
      <c r="DY164" s="179" t="s">
        <v>9</v>
      </c>
      <c r="DZ164" s="132"/>
      <c r="EA164" s="203"/>
      <c r="EB164" s="203"/>
      <c r="EC164" s="203"/>
      <c r="ED164" s="179" t="s">
        <v>9</v>
      </c>
      <c r="EE164" s="132"/>
      <c r="EF164" s="205">
        <f>IF(AND(DV164&gt;0,ISNUMBER(EA164)),DV164*(100-EA164)/100,"")</f>
      </c>
      <c r="EG164" s="205"/>
      <c r="EH164" s="205"/>
      <c r="EI164" s="179" t="s">
        <v>9</v>
      </c>
      <c r="EJ164" s="132"/>
      <c r="EK164" s="194">
        <f>IF(ISNUMBER(EF164),EF164*0.46214,"")</f>
      </c>
      <c r="EL164" s="194"/>
      <c r="EM164" s="194"/>
      <c r="EN164" s="164" t="s">
        <v>83</v>
      </c>
      <c r="EO164" s="164"/>
      <c r="EP164" s="164"/>
      <c r="EQ164" s="206">
        <f>IF(ISNUMBER(DH164),DH164,35.49)</f>
        <v>35.49</v>
      </c>
      <c r="ER164" s="19"/>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19"/>
      <c r="GB164" s="43"/>
    </row>
    <row r="165" spans="1:184" ht="7.5" customHeight="1">
      <c r="A165" s="43"/>
      <c r="B165" s="165"/>
      <c r="C165" s="165"/>
      <c r="D165" s="165"/>
      <c r="E165" s="165"/>
      <c r="F165" s="165"/>
      <c r="G165" s="165"/>
      <c r="H165" s="165"/>
      <c r="I165" s="165"/>
      <c r="J165" s="165"/>
      <c r="K165" s="216"/>
      <c r="L165" s="216"/>
      <c r="M165" s="216"/>
      <c r="N165" s="132"/>
      <c r="O165" s="132"/>
      <c r="P165" s="132"/>
      <c r="Q165" s="132"/>
      <c r="R165" s="132"/>
      <c r="S165" s="132"/>
      <c r="T165" s="164"/>
      <c r="U165" s="164"/>
      <c r="V165" s="154"/>
      <c r="W165" s="154"/>
      <c r="X165" s="154"/>
      <c r="Y165" s="154"/>
      <c r="Z165" s="154"/>
      <c r="AA165" s="154"/>
      <c r="AB165" s="154"/>
      <c r="AC165" s="154"/>
      <c r="AD165" s="154"/>
      <c r="AE165" s="154"/>
      <c r="AF165" s="154"/>
      <c r="AG165" s="154"/>
      <c r="AH165" s="154"/>
      <c r="AI165" s="154"/>
      <c r="AJ165" s="154"/>
      <c r="AK165" s="154"/>
      <c r="AL165" s="47"/>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31"/>
      <c r="BP165" s="131"/>
      <c r="BQ165" s="131"/>
      <c r="BR165" s="164"/>
      <c r="BS165" s="164"/>
      <c r="BT165" s="164"/>
      <c r="BU165" s="164"/>
      <c r="BV165" s="47"/>
      <c r="BW165" s="89"/>
      <c r="BX165" s="89"/>
      <c r="BY165" s="265" t="str">
        <f>IF(OR(AB170&gt;25,CK145&gt;3.1),"WARNING: Priming amounts above are too high!","If handling primed glass bottles, wear safety glasses.")</f>
        <v>If handling primed glass bottles, wear safety glasses.</v>
      </c>
      <c r="BZ165" s="265"/>
      <c r="CA165" s="265"/>
      <c r="CB165" s="265"/>
      <c r="CC165" s="265"/>
      <c r="CD165" s="265"/>
      <c r="CE165" s="265"/>
      <c r="CF165" s="265"/>
      <c r="CG165" s="265"/>
      <c r="CH165" s="265"/>
      <c r="CI165" s="265"/>
      <c r="CJ165" s="265"/>
      <c r="CK165" s="265"/>
      <c r="CL165" s="265"/>
      <c r="CM165" s="265"/>
      <c r="CN165" s="265"/>
      <c r="CO165" s="265"/>
      <c r="CP165" s="265"/>
      <c r="CQ165" s="265"/>
      <c r="CR165" s="265"/>
      <c r="CS165" s="265"/>
      <c r="CT165" s="265"/>
      <c r="CU165" s="265"/>
      <c r="CV165" s="265"/>
      <c r="CW165" s="265"/>
      <c r="CX165" s="265"/>
      <c r="CY165" s="265"/>
      <c r="CZ165" s="265"/>
      <c r="DA165" s="265"/>
      <c r="DB165" s="265"/>
      <c r="DC165" s="265"/>
      <c r="DD165" s="265"/>
      <c r="DE165" s="265"/>
      <c r="DF165" s="265"/>
      <c r="DG165" s="43"/>
      <c r="DH165" s="133"/>
      <c r="DI165" s="130"/>
      <c r="DJ165" s="289"/>
      <c r="DK165" s="289"/>
      <c r="DL165" s="289"/>
      <c r="DM165" s="289"/>
      <c r="DN165" s="289"/>
      <c r="DO165" s="289"/>
      <c r="DP165" s="289"/>
      <c r="DQ165" s="289"/>
      <c r="DR165" s="289"/>
      <c r="DS165" s="289"/>
      <c r="DT165" s="289"/>
      <c r="DU165" s="289"/>
      <c r="DV165" s="204"/>
      <c r="DW165" s="204"/>
      <c r="DX165" s="204"/>
      <c r="DY165" s="132"/>
      <c r="DZ165" s="132"/>
      <c r="EA165" s="203"/>
      <c r="EB165" s="203"/>
      <c r="EC165" s="203"/>
      <c r="ED165" s="132"/>
      <c r="EE165" s="132"/>
      <c r="EF165" s="205"/>
      <c r="EG165" s="205"/>
      <c r="EH165" s="205"/>
      <c r="EI165" s="132"/>
      <c r="EJ165" s="132"/>
      <c r="EK165" s="194"/>
      <c r="EL165" s="194"/>
      <c r="EM165" s="194"/>
      <c r="EN165" s="164"/>
      <c r="EO165" s="164"/>
      <c r="EP165" s="164"/>
      <c r="EQ165" s="133"/>
      <c r="ER165" s="19"/>
      <c r="ES165" s="200"/>
      <c r="ET165" s="200"/>
      <c r="EU165" s="200"/>
      <c r="EV165" s="200"/>
      <c r="EW165" s="200"/>
      <c r="EX165" s="180"/>
      <c r="EY165" s="200"/>
      <c r="EZ165" s="200"/>
      <c r="FA165" s="200"/>
      <c r="FB165" s="200"/>
      <c r="FC165" s="200"/>
      <c r="FD165" s="200"/>
      <c r="FE165" s="200"/>
      <c r="FF165" s="200"/>
      <c r="FG165" s="200"/>
      <c r="FH165" s="200"/>
      <c r="FI165" s="200"/>
      <c r="FJ165" s="200"/>
      <c r="FK165" s="200"/>
      <c r="FL165" s="200"/>
      <c r="FM165" s="200"/>
      <c r="FN165" s="200"/>
      <c r="FO165" s="200"/>
      <c r="FP165" s="200"/>
      <c r="FQ165" s="200"/>
      <c r="FR165" s="200"/>
      <c r="FS165" s="200"/>
      <c r="FT165" s="200"/>
      <c r="FU165" s="64"/>
      <c r="FV165" s="201"/>
      <c r="FW165" s="201"/>
      <c r="FX165" s="201"/>
      <c r="FY165" s="201"/>
      <c r="FZ165" s="201"/>
      <c r="GA165" s="19"/>
      <c r="GB165" s="43"/>
    </row>
    <row r="166" spans="1:184" ht="7.5" customHeight="1">
      <c r="A166" s="43"/>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89"/>
      <c r="BX166" s="89"/>
      <c r="BY166" s="265"/>
      <c r="BZ166" s="265"/>
      <c r="CA166" s="265"/>
      <c r="CB166" s="265"/>
      <c r="CC166" s="265"/>
      <c r="CD166" s="265"/>
      <c r="CE166" s="265"/>
      <c r="CF166" s="265"/>
      <c r="CG166" s="265"/>
      <c r="CH166" s="265"/>
      <c r="CI166" s="265"/>
      <c r="CJ166" s="265"/>
      <c r="CK166" s="265"/>
      <c r="CL166" s="265"/>
      <c r="CM166" s="265"/>
      <c r="CN166" s="265"/>
      <c r="CO166" s="265"/>
      <c r="CP166" s="265"/>
      <c r="CQ166" s="265"/>
      <c r="CR166" s="265"/>
      <c r="CS166" s="265"/>
      <c r="CT166" s="265"/>
      <c r="CU166" s="265"/>
      <c r="CV166" s="265"/>
      <c r="CW166" s="265"/>
      <c r="CX166" s="265"/>
      <c r="CY166" s="265"/>
      <c r="CZ166" s="265"/>
      <c r="DA166" s="265"/>
      <c r="DB166" s="265"/>
      <c r="DC166" s="265"/>
      <c r="DD166" s="265"/>
      <c r="DE166" s="265"/>
      <c r="DF166" s="265"/>
      <c r="DG166" s="43"/>
      <c r="DH166" s="51"/>
      <c r="DI166" s="74"/>
      <c r="DJ166" s="93"/>
      <c r="DK166" s="93"/>
      <c r="DL166" s="93"/>
      <c r="DM166" s="93"/>
      <c r="DN166" s="93"/>
      <c r="DO166" s="93"/>
      <c r="DP166" s="93"/>
      <c r="DQ166" s="93"/>
      <c r="DR166" s="93"/>
      <c r="DS166" s="93"/>
      <c r="DT166" s="93"/>
      <c r="DU166" s="93"/>
      <c r="DV166" s="66"/>
      <c r="DW166" s="66"/>
      <c r="DX166" s="66"/>
      <c r="DY166" s="19"/>
      <c r="DZ166" s="19"/>
      <c r="EA166" s="66"/>
      <c r="EB166" s="66"/>
      <c r="EC166" s="66"/>
      <c r="ED166" s="19"/>
      <c r="EE166" s="19"/>
      <c r="EF166" s="66"/>
      <c r="EG166" s="66"/>
      <c r="EH166" s="66"/>
      <c r="EI166" s="19"/>
      <c r="EJ166" s="19"/>
      <c r="EK166" s="66"/>
      <c r="EL166" s="66"/>
      <c r="EM166" s="66"/>
      <c r="EN166" s="19"/>
      <c r="EO166" s="19"/>
      <c r="EP166" s="19"/>
      <c r="EQ166" s="51"/>
      <c r="ER166" s="19"/>
      <c r="ES166" s="200"/>
      <c r="ET166" s="200"/>
      <c r="EU166" s="200"/>
      <c r="EV166" s="200"/>
      <c r="EW166" s="200"/>
      <c r="EX166" s="180"/>
      <c r="EY166" s="200"/>
      <c r="EZ166" s="200"/>
      <c r="FA166" s="200"/>
      <c r="FB166" s="200"/>
      <c r="FC166" s="200"/>
      <c r="FD166" s="200"/>
      <c r="FE166" s="200"/>
      <c r="FF166" s="200"/>
      <c r="FG166" s="200"/>
      <c r="FH166" s="200"/>
      <c r="FI166" s="200"/>
      <c r="FJ166" s="200"/>
      <c r="FK166" s="200"/>
      <c r="FL166" s="200"/>
      <c r="FM166" s="200"/>
      <c r="FN166" s="200"/>
      <c r="FO166" s="200"/>
      <c r="FP166" s="200"/>
      <c r="FQ166" s="200"/>
      <c r="FR166" s="200"/>
      <c r="FS166" s="200"/>
      <c r="FT166" s="200"/>
      <c r="FU166" s="64"/>
      <c r="FV166" s="201"/>
      <c r="FW166" s="201"/>
      <c r="FX166" s="201"/>
      <c r="FY166" s="201"/>
      <c r="FZ166" s="201"/>
      <c r="GA166" s="19"/>
      <c r="GB166" s="43"/>
    </row>
    <row r="167" spans="1:184" ht="7.5" customHeight="1">
      <c r="A167" s="43"/>
      <c r="B167" s="158" t="s">
        <v>240</v>
      </c>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5" t="s">
        <v>91</v>
      </c>
      <c r="AK167" s="156"/>
      <c r="AL167" s="19"/>
      <c r="AM167" s="158" t="s">
        <v>242</v>
      </c>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5" t="s">
        <v>91</v>
      </c>
      <c r="BV167" s="156"/>
      <c r="BW167" s="89"/>
      <c r="BX167" s="89"/>
      <c r="BY167" s="158" t="s">
        <v>250</v>
      </c>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5" t="s">
        <v>91</v>
      </c>
      <c r="DF167" s="156"/>
      <c r="DG167" s="51"/>
      <c r="DH167" s="133">
        <f>IF(AND(DV167&gt;0,ISNUMBER(EA167)),DV167*(100-EA167)/100*0.46214,EK136)</f>
      </c>
      <c r="DI167" s="130">
        <f>IF(AND(ISNUMBER(EQ136),ISNUMBER($DI$188)),EQ136/100*$DI$188,"")</f>
        <v>19.028962153000617</v>
      </c>
      <c r="DJ167" s="202">
        <f>IF(AM58&gt;0,AM58,"")</f>
      </c>
      <c r="DK167" s="202"/>
      <c r="DL167" s="202"/>
      <c r="DM167" s="202"/>
      <c r="DN167" s="202"/>
      <c r="DO167" s="202"/>
      <c r="DP167" s="202"/>
      <c r="DQ167" s="202"/>
      <c r="DR167" s="202"/>
      <c r="DS167" s="202"/>
      <c r="DT167" s="202"/>
      <c r="DU167" s="202"/>
      <c r="DV167" s="204"/>
      <c r="DW167" s="204"/>
      <c r="DX167" s="204"/>
      <c r="DY167" s="179" t="s">
        <v>9</v>
      </c>
      <c r="DZ167" s="132"/>
      <c r="EA167" s="203"/>
      <c r="EB167" s="203"/>
      <c r="EC167" s="203"/>
      <c r="ED167" s="179" t="s">
        <v>9</v>
      </c>
      <c r="EE167" s="132"/>
      <c r="EF167" s="205">
        <f>IF(AND(DV167&gt;0,ISNUMBER(EA167)),DV167*(100-EA167)/100,"")</f>
      </c>
      <c r="EG167" s="205"/>
      <c r="EH167" s="205"/>
      <c r="EI167" s="179" t="s">
        <v>9</v>
      </c>
      <c r="EJ167" s="132"/>
      <c r="EK167" s="194">
        <f>IF(ISNUMBER(EF167),EF167*0.46214,"")</f>
      </c>
      <c r="EL167" s="194"/>
      <c r="EM167" s="194"/>
      <c r="EN167" s="164" t="s">
        <v>83</v>
      </c>
      <c r="EO167" s="164"/>
      <c r="EP167" s="164"/>
      <c r="EQ167" s="206">
        <f>IF(ISNUMBER(DH167),DH167,35.49)</f>
        <v>35.49</v>
      </c>
      <c r="ER167" s="19"/>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19"/>
      <c r="GB167" s="43"/>
    </row>
    <row r="168" spans="1:184" ht="7.5" customHeight="1">
      <c r="A168" s="43"/>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6"/>
      <c r="AK168" s="156"/>
      <c r="AL168" s="19"/>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6"/>
      <c r="BV168" s="156"/>
      <c r="BW168" s="89"/>
      <c r="BX168" s="89"/>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6"/>
      <c r="DF168" s="156"/>
      <c r="DG168" s="51"/>
      <c r="DH168" s="133"/>
      <c r="DI168" s="130"/>
      <c r="DJ168" s="202"/>
      <c r="DK168" s="202"/>
      <c r="DL168" s="202"/>
      <c r="DM168" s="202"/>
      <c r="DN168" s="202"/>
      <c r="DO168" s="202"/>
      <c r="DP168" s="202"/>
      <c r="DQ168" s="202"/>
      <c r="DR168" s="202"/>
      <c r="DS168" s="202"/>
      <c r="DT168" s="202"/>
      <c r="DU168" s="202"/>
      <c r="DV168" s="204"/>
      <c r="DW168" s="204"/>
      <c r="DX168" s="204"/>
      <c r="DY168" s="132"/>
      <c r="DZ168" s="132"/>
      <c r="EA168" s="203"/>
      <c r="EB168" s="203"/>
      <c r="EC168" s="203"/>
      <c r="ED168" s="132"/>
      <c r="EE168" s="132"/>
      <c r="EF168" s="205"/>
      <c r="EG168" s="205"/>
      <c r="EH168" s="205"/>
      <c r="EI168" s="132"/>
      <c r="EJ168" s="132"/>
      <c r="EK168" s="194"/>
      <c r="EL168" s="194"/>
      <c r="EM168" s="194"/>
      <c r="EN168" s="164"/>
      <c r="EO168" s="164"/>
      <c r="EP168" s="164"/>
      <c r="EQ168" s="133"/>
      <c r="ER168" s="19"/>
      <c r="ES168" s="200"/>
      <c r="ET168" s="200"/>
      <c r="EU168" s="200"/>
      <c r="EV168" s="200"/>
      <c r="EW168" s="200"/>
      <c r="EX168" s="180"/>
      <c r="EY168" s="200"/>
      <c r="EZ168" s="200"/>
      <c r="FA168" s="200"/>
      <c r="FB168" s="200"/>
      <c r="FC168" s="200"/>
      <c r="FD168" s="200"/>
      <c r="FE168" s="200"/>
      <c r="FF168" s="200"/>
      <c r="FG168" s="200"/>
      <c r="FH168" s="200"/>
      <c r="FI168" s="200"/>
      <c r="FJ168" s="200"/>
      <c r="FK168" s="200"/>
      <c r="FL168" s="200"/>
      <c r="FM168" s="200"/>
      <c r="FN168" s="200"/>
      <c r="FO168" s="200"/>
      <c r="FP168" s="200"/>
      <c r="FQ168" s="200"/>
      <c r="FR168" s="200"/>
      <c r="FS168" s="200"/>
      <c r="FT168" s="200"/>
      <c r="FU168" s="64"/>
      <c r="FV168" s="201"/>
      <c r="FW168" s="201"/>
      <c r="FX168" s="201"/>
      <c r="FY168" s="201"/>
      <c r="FZ168" s="201"/>
      <c r="GA168" s="19"/>
      <c r="GB168" s="43"/>
    </row>
    <row r="169" spans="1:184" ht="7.5" customHeight="1" thickBot="1">
      <c r="A169" s="43"/>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89"/>
      <c r="BX169" s="89"/>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51"/>
      <c r="DH169" s="51"/>
      <c r="DI169" s="74"/>
      <c r="DJ169" s="20"/>
      <c r="DK169" s="20"/>
      <c r="DL169" s="20"/>
      <c r="DM169" s="20"/>
      <c r="DN169" s="20"/>
      <c r="DO169" s="20"/>
      <c r="DP169" s="20"/>
      <c r="DQ169" s="20"/>
      <c r="DR169" s="20"/>
      <c r="DS169" s="20"/>
      <c r="DT169" s="20"/>
      <c r="DU169" s="20"/>
      <c r="DV169" s="66"/>
      <c r="DW169" s="66"/>
      <c r="DX169" s="66"/>
      <c r="DY169" s="19"/>
      <c r="DZ169" s="19"/>
      <c r="EA169" s="66"/>
      <c r="EB169" s="66"/>
      <c r="EC169" s="66"/>
      <c r="ED169" s="19"/>
      <c r="EE169" s="19"/>
      <c r="EF169" s="66"/>
      <c r="EG169" s="66"/>
      <c r="EH169" s="66"/>
      <c r="EI169" s="19"/>
      <c r="EJ169" s="19"/>
      <c r="EK169" s="66"/>
      <c r="EL169" s="66"/>
      <c r="EM169" s="66"/>
      <c r="EN169" s="19"/>
      <c r="EO169" s="19"/>
      <c r="EP169" s="19"/>
      <c r="EQ169" s="51"/>
      <c r="ER169" s="19"/>
      <c r="ES169" s="200"/>
      <c r="ET169" s="200"/>
      <c r="EU169" s="200"/>
      <c r="EV169" s="200"/>
      <c r="EW169" s="200"/>
      <c r="EX169" s="180"/>
      <c r="EY169" s="200"/>
      <c r="EZ169" s="200"/>
      <c r="FA169" s="200"/>
      <c r="FB169" s="200"/>
      <c r="FC169" s="200"/>
      <c r="FD169" s="200"/>
      <c r="FE169" s="200"/>
      <c r="FF169" s="200"/>
      <c r="FG169" s="200"/>
      <c r="FH169" s="200"/>
      <c r="FI169" s="200"/>
      <c r="FJ169" s="200"/>
      <c r="FK169" s="200"/>
      <c r="FL169" s="200"/>
      <c r="FM169" s="200"/>
      <c r="FN169" s="200"/>
      <c r="FO169" s="200"/>
      <c r="FP169" s="200"/>
      <c r="FQ169" s="200"/>
      <c r="FR169" s="200"/>
      <c r="FS169" s="200"/>
      <c r="FT169" s="200"/>
      <c r="FU169" s="64"/>
      <c r="FV169" s="201"/>
      <c r="FW169" s="201"/>
      <c r="FX169" s="201"/>
      <c r="FY169" s="201"/>
      <c r="FZ169" s="201"/>
      <c r="GA169" s="19"/>
      <c r="GB169" s="43"/>
    </row>
    <row r="170" spans="1:184" ht="7.5" customHeight="1">
      <c r="A170" s="43"/>
      <c r="B170" s="170" t="s">
        <v>34</v>
      </c>
      <c r="C170" s="170"/>
      <c r="D170" s="170"/>
      <c r="E170" s="170"/>
      <c r="F170" s="175" t="s">
        <v>398</v>
      </c>
      <c r="G170" s="176"/>
      <c r="H170" s="176"/>
      <c r="I170" s="176"/>
      <c r="J170" s="176"/>
      <c r="K170" s="176"/>
      <c r="L170" s="176"/>
      <c r="M170" s="176"/>
      <c r="N170" s="176"/>
      <c r="O170" s="176"/>
      <c r="P170" s="176"/>
      <c r="Q170" s="176"/>
      <c r="R170" s="132" t="s">
        <v>35</v>
      </c>
      <c r="S170" s="132"/>
      <c r="T170" s="138"/>
      <c r="U170" s="138"/>
      <c r="V170" s="138"/>
      <c r="W170" s="132" t="s">
        <v>36</v>
      </c>
      <c r="X170" s="132"/>
      <c r="Y170" s="132"/>
      <c r="Z170" s="132"/>
      <c r="AA170" s="132"/>
      <c r="AB170" s="260"/>
      <c r="AC170" s="261"/>
      <c r="AD170" s="261"/>
      <c r="AE170" s="132" t="s">
        <v>32</v>
      </c>
      <c r="AF170" s="132"/>
      <c r="AG170" s="194">
        <f>IF(ISNUMBER(AB170),AB170*9/5+32,"")</f>
      </c>
      <c r="AH170" s="194"/>
      <c r="AI170" s="194"/>
      <c r="AJ170" s="194"/>
      <c r="AK170" s="164" t="s">
        <v>33</v>
      </c>
      <c r="AL170" s="164"/>
      <c r="AM170" s="47"/>
      <c r="AN170" s="165" t="s">
        <v>38</v>
      </c>
      <c r="AO170" s="165"/>
      <c r="AP170" s="165"/>
      <c r="AQ170" s="165"/>
      <c r="AR170" s="165"/>
      <c r="AS170" s="165"/>
      <c r="AT170" s="165"/>
      <c r="AU170" s="216"/>
      <c r="AV170" s="216"/>
      <c r="AW170" s="216"/>
      <c r="AX170" s="179" t="s">
        <v>39</v>
      </c>
      <c r="AY170" s="132"/>
      <c r="AZ170" s="132"/>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9"/>
      <c r="BW170" s="89"/>
      <c r="BX170" s="89"/>
      <c r="BY170" s="269" t="s">
        <v>183</v>
      </c>
      <c r="BZ170" s="269"/>
      <c r="CA170" s="269"/>
      <c r="CB170" s="269"/>
      <c r="CC170" s="269"/>
      <c r="CD170" s="269"/>
      <c r="CE170" s="269"/>
      <c r="CF170" s="269"/>
      <c r="CG170" s="269"/>
      <c r="CH170" s="268"/>
      <c r="CI170" s="268"/>
      <c r="CJ170" s="268"/>
      <c r="CK170" s="143" t="s">
        <v>154</v>
      </c>
      <c r="CL170" s="143"/>
      <c r="CM170" s="143"/>
      <c r="CN170" s="143"/>
      <c r="CO170" s="143"/>
      <c r="CP170" s="143"/>
      <c r="CQ170" s="143"/>
      <c r="CR170" s="270">
        <f>IF(CH160&gt;0,CH160,IF(AND(CH148&gt;0,CH170&gt;0),CH170*CH148/1000,""))</f>
      </c>
      <c r="CS170" s="270"/>
      <c r="CT170" s="270"/>
      <c r="CU170" s="132" t="s">
        <v>6</v>
      </c>
      <c r="CV170" s="132"/>
      <c r="CW170" s="132"/>
      <c r="CX170" s="132"/>
      <c r="CY170" s="179" t="s">
        <v>1</v>
      </c>
      <c r="CZ170" s="223">
        <f>IF(ISNUMBER(CR170),CR170*0.2641720523582,"")</f>
      </c>
      <c r="DA170" s="223"/>
      <c r="DB170" s="223"/>
      <c r="DC170" s="223"/>
      <c r="DD170" s="164" t="s">
        <v>7</v>
      </c>
      <c r="DE170" s="164"/>
      <c r="DF170" s="164"/>
      <c r="DG170" s="51"/>
      <c r="DH170" s="133">
        <f>IF(AND(DV170&gt;0,ISNUMBER(EA170)),DV170*(100-EA170)/100*0.46214,EK139)</f>
      </c>
      <c r="DI170" s="130">
        <f>IF(AND(ISNUMBER(EQ139),ISNUMBER($DI$188)),EQ139/100*$DI$188,"")</f>
        <v>8.419894955090783</v>
      </c>
      <c r="DJ170" s="202">
        <f>IF(AM61&gt;0,AM61,"")</f>
      </c>
      <c r="DK170" s="202"/>
      <c r="DL170" s="202"/>
      <c r="DM170" s="202"/>
      <c r="DN170" s="202"/>
      <c r="DO170" s="202"/>
      <c r="DP170" s="202"/>
      <c r="DQ170" s="202"/>
      <c r="DR170" s="202"/>
      <c r="DS170" s="202"/>
      <c r="DT170" s="202"/>
      <c r="DU170" s="202"/>
      <c r="DV170" s="204"/>
      <c r="DW170" s="204"/>
      <c r="DX170" s="204"/>
      <c r="DY170" s="179" t="s">
        <v>9</v>
      </c>
      <c r="DZ170" s="132"/>
      <c r="EA170" s="203"/>
      <c r="EB170" s="203"/>
      <c r="EC170" s="203"/>
      <c r="ED170" s="179" t="s">
        <v>9</v>
      </c>
      <c r="EE170" s="132"/>
      <c r="EF170" s="205">
        <f>IF(AND(DV170&gt;0,ISNUMBER(EA170)),DV170*(100-EA170)/100,"")</f>
      </c>
      <c r="EG170" s="205"/>
      <c r="EH170" s="205"/>
      <c r="EI170" s="179" t="s">
        <v>9</v>
      </c>
      <c r="EJ170" s="132"/>
      <c r="EK170" s="194">
        <f>IF(ISNUMBER(EF170),EF170*0.46214,"")</f>
      </c>
      <c r="EL170" s="194"/>
      <c r="EM170" s="194"/>
      <c r="EN170" s="164" t="s">
        <v>83</v>
      </c>
      <c r="EO170" s="164"/>
      <c r="EP170" s="164"/>
      <c r="EQ170" s="206">
        <f>IF(ISNUMBER(DH170),DH170,35.49)</f>
        <v>35.49</v>
      </c>
      <c r="ER170" s="19"/>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19"/>
      <c r="GB170" s="43"/>
    </row>
    <row r="171" spans="1:184" ht="7.5" customHeight="1">
      <c r="A171" s="43"/>
      <c r="B171" s="170"/>
      <c r="C171" s="170"/>
      <c r="D171" s="170"/>
      <c r="E171" s="170"/>
      <c r="F171" s="177"/>
      <c r="G171" s="178"/>
      <c r="H171" s="178"/>
      <c r="I171" s="178"/>
      <c r="J171" s="178"/>
      <c r="K171" s="178"/>
      <c r="L171" s="178"/>
      <c r="M171" s="178"/>
      <c r="N171" s="178"/>
      <c r="O171" s="178"/>
      <c r="P171" s="178"/>
      <c r="Q171" s="178"/>
      <c r="R171" s="132"/>
      <c r="S171" s="132"/>
      <c r="T171" s="138"/>
      <c r="U171" s="138"/>
      <c r="V171" s="138"/>
      <c r="W171" s="132"/>
      <c r="X171" s="132"/>
      <c r="Y171" s="132"/>
      <c r="Z171" s="132"/>
      <c r="AA171" s="132"/>
      <c r="AB171" s="262"/>
      <c r="AC171" s="263"/>
      <c r="AD171" s="263"/>
      <c r="AE171" s="132"/>
      <c r="AF171" s="132"/>
      <c r="AG171" s="194"/>
      <c r="AH171" s="194"/>
      <c r="AI171" s="194"/>
      <c r="AJ171" s="194"/>
      <c r="AK171" s="164"/>
      <c r="AL171" s="164"/>
      <c r="AM171" s="47"/>
      <c r="AN171" s="165"/>
      <c r="AO171" s="165"/>
      <c r="AP171" s="165"/>
      <c r="AQ171" s="165"/>
      <c r="AR171" s="165"/>
      <c r="AS171" s="165"/>
      <c r="AT171" s="165"/>
      <c r="AU171" s="216"/>
      <c r="AV171" s="216"/>
      <c r="AW171" s="216"/>
      <c r="AX171" s="132"/>
      <c r="AY171" s="132"/>
      <c r="AZ171" s="132"/>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9"/>
      <c r="BW171" s="89"/>
      <c r="BX171" s="89"/>
      <c r="BY171" s="269"/>
      <c r="BZ171" s="269"/>
      <c r="CA171" s="269"/>
      <c r="CB171" s="269"/>
      <c r="CC171" s="269"/>
      <c r="CD171" s="269"/>
      <c r="CE171" s="269"/>
      <c r="CF171" s="269"/>
      <c r="CG171" s="269"/>
      <c r="CH171" s="268"/>
      <c r="CI171" s="268"/>
      <c r="CJ171" s="268"/>
      <c r="CK171" s="143"/>
      <c r="CL171" s="143"/>
      <c r="CM171" s="143"/>
      <c r="CN171" s="143"/>
      <c r="CO171" s="143"/>
      <c r="CP171" s="143"/>
      <c r="CQ171" s="143"/>
      <c r="CR171" s="270"/>
      <c r="CS171" s="270"/>
      <c r="CT171" s="270"/>
      <c r="CU171" s="132"/>
      <c r="CV171" s="132"/>
      <c r="CW171" s="132"/>
      <c r="CX171" s="132"/>
      <c r="CY171" s="212"/>
      <c r="CZ171" s="223"/>
      <c r="DA171" s="223"/>
      <c r="DB171" s="223"/>
      <c r="DC171" s="223"/>
      <c r="DD171" s="164"/>
      <c r="DE171" s="164"/>
      <c r="DF171" s="164"/>
      <c r="DG171" s="51"/>
      <c r="DH171" s="133"/>
      <c r="DI171" s="130"/>
      <c r="DJ171" s="202"/>
      <c r="DK171" s="202"/>
      <c r="DL171" s="202"/>
      <c r="DM171" s="202"/>
      <c r="DN171" s="202"/>
      <c r="DO171" s="202"/>
      <c r="DP171" s="202"/>
      <c r="DQ171" s="202"/>
      <c r="DR171" s="202"/>
      <c r="DS171" s="202"/>
      <c r="DT171" s="202"/>
      <c r="DU171" s="202"/>
      <c r="DV171" s="204"/>
      <c r="DW171" s="204"/>
      <c r="DX171" s="204"/>
      <c r="DY171" s="132"/>
      <c r="DZ171" s="132"/>
      <c r="EA171" s="203"/>
      <c r="EB171" s="203"/>
      <c r="EC171" s="203"/>
      <c r="ED171" s="132"/>
      <c r="EE171" s="132"/>
      <c r="EF171" s="205"/>
      <c r="EG171" s="205"/>
      <c r="EH171" s="205"/>
      <c r="EI171" s="132"/>
      <c r="EJ171" s="132"/>
      <c r="EK171" s="194"/>
      <c r="EL171" s="194"/>
      <c r="EM171" s="194"/>
      <c r="EN171" s="164"/>
      <c r="EO171" s="164"/>
      <c r="EP171" s="164"/>
      <c r="EQ171" s="133"/>
      <c r="ER171" s="19"/>
      <c r="ES171" s="200"/>
      <c r="ET171" s="200"/>
      <c r="EU171" s="200"/>
      <c r="EV171" s="200"/>
      <c r="EW171" s="200"/>
      <c r="EX171" s="180"/>
      <c r="EY171" s="200"/>
      <c r="EZ171" s="200"/>
      <c r="FA171" s="200"/>
      <c r="FB171" s="200"/>
      <c r="FC171" s="200"/>
      <c r="FD171" s="200"/>
      <c r="FE171" s="200"/>
      <c r="FF171" s="200"/>
      <c r="FG171" s="200"/>
      <c r="FH171" s="200"/>
      <c r="FI171" s="200"/>
      <c r="FJ171" s="200"/>
      <c r="FK171" s="200"/>
      <c r="FL171" s="200"/>
      <c r="FM171" s="200"/>
      <c r="FN171" s="200"/>
      <c r="FO171" s="200"/>
      <c r="FP171" s="200"/>
      <c r="FQ171" s="200"/>
      <c r="FR171" s="200"/>
      <c r="FS171" s="200"/>
      <c r="FT171" s="200"/>
      <c r="FU171" s="64"/>
      <c r="FV171" s="201"/>
      <c r="FW171" s="201"/>
      <c r="FX171" s="201"/>
      <c r="FY171" s="201"/>
      <c r="FZ171" s="201"/>
      <c r="GA171" s="19"/>
      <c r="GB171" s="43"/>
    </row>
    <row r="172" spans="1:184" ht="7.5" customHeight="1">
      <c r="A172" s="43"/>
      <c r="B172" s="19"/>
      <c r="C172" s="19"/>
      <c r="D172" s="19"/>
      <c r="E172" s="19"/>
      <c r="F172" s="19"/>
      <c r="G172" s="19"/>
      <c r="H172" s="19"/>
      <c r="I172" s="19"/>
      <c r="J172" s="19"/>
      <c r="K172" s="19"/>
      <c r="L172" s="19"/>
      <c r="M172" s="19"/>
      <c r="N172" s="19"/>
      <c r="O172" s="19"/>
      <c r="P172" s="19"/>
      <c r="Q172" s="19"/>
      <c r="R172" s="19"/>
      <c r="S172" s="47"/>
      <c r="T172" s="19"/>
      <c r="U172" s="19"/>
      <c r="V172" s="19"/>
      <c r="W172" s="19"/>
      <c r="X172" s="19"/>
      <c r="Y172" s="19"/>
      <c r="Z172" s="19"/>
      <c r="AA172" s="19"/>
      <c r="AB172" s="19"/>
      <c r="AC172" s="19"/>
      <c r="AD172" s="19"/>
      <c r="AE172" s="19"/>
      <c r="AF172" s="19"/>
      <c r="AG172" s="19"/>
      <c r="AH172" s="19"/>
      <c r="AI172" s="19"/>
      <c r="AJ172" s="19"/>
      <c r="AK172" s="19"/>
      <c r="AL172" s="47"/>
      <c r="AM172" s="47"/>
      <c r="AN172" s="19"/>
      <c r="AO172" s="19"/>
      <c r="AP172" s="19"/>
      <c r="AQ172" s="19"/>
      <c r="AR172" s="19"/>
      <c r="AS172" s="19"/>
      <c r="AT172" s="19"/>
      <c r="AU172" s="19"/>
      <c r="AV172" s="19"/>
      <c r="AW172" s="19"/>
      <c r="AX172" s="79"/>
      <c r="AY172" s="79"/>
      <c r="AZ172" s="7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89"/>
      <c r="BX172" s="89"/>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51"/>
      <c r="DH172" s="51"/>
      <c r="DI172" s="74"/>
      <c r="DJ172" s="20"/>
      <c r="DK172" s="20"/>
      <c r="DL172" s="20"/>
      <c r="DM172" s="20"/>
      <c r="DN172" s="20"/>
      <c r="DO172" s="20"/>
      <c r="DP172" s="20"/>
      <c r="DQ172" s="20"/>
      <c r="DR172" s="20"/>
      <c r="DS172" s="20"/>
      <c r="DT172" s="20"/>
      <c r="DU172" s="20"/>
      <c r="DV172" s="66"/>
      <c r="DW172" s="66"/>
      <c r="DX172" s="66"/>
      <c r="DY172" s="19"/>
      <c r="DZ172" s="19"/>
      <c r="EA172" s="66"/>
      <c r="EB172" s="66"/>
      <c r="EC172" s="66"/>
      <c r="ED172" s="19"/>
      <c r="EE172" s="19"/>
      <c r="EF172" s="66"/>
      <c r="EG172" s="66"/>
      <c r="EH172" s="66"/>
      <c r="EI172" s="19"/>
      <c r="EJ172" s="19"/>
      <c r="EK172" s="66"/>
      <c r="EL172" s="66"/>
      <c r="EM172" s="66"/>
      <c r="EN172" s="19"/>
      <c r="EO172" s="19"/>
      <c r="EP172" s="19"/>
      <c r="EQ172" s="51"/>
      <c r="ER172" s="19"/>
      <c r="ES172" s="200"/>
      <c r="ET172" s="200"/>
      <c r="EU172" s="200"/>
      <c r="EV172" s="200"/>
      <c r="EW172" s="200"/>
      <c r="EX172" s="180"/>
      <c r="EY172" s="200"/>
      <c r="EZ172" s="200"/>
      <c r="FA172" s="200"/>
      <c r="FB172" s="200"/>
      <c r="FC172" s="200"/>
      <c r="FD172" s="200"/>
      <c r="FE172" s="200"/>
      <c r="FF172" s="200"/>
      <c r="FG172" s="200"/>
      <c r="FH172" s="200"/>
      <c r="FI172" s="200"/>
      <c r="FJ172" s="200"/>
      <c r="FK172" s="200"/>
      <c r="FL172" s="200"/>
      <c r="FM172" s="200"/>
      <c r="FN172" s="200"/>
      <c r="FO172" s="200"/>
      <c r="FP172" s="200"/>
      <c r="FQ172" s="200"/>
      <c r="FR172" s="200"/>
      <c r="FS172" s="200"/>
      <c r="FT172" s="200"/>
      <c r="FU172" s="64"/>
      <c r="FV172" s="201"/>
      <c r="FW172" s="201"/>
      <c r="FX172" s="201"/>
      <c r="FY172" s="201"/>
      <c r="FZ172" s="201"/>
      <c r="GA172" s="19"/>
      <c r="GB172" s="43"/>
    </row>
    <row r="173" spans="1:184" ht="7.5" customHeight="1">
      <c r="A173" s="43"/>
      <c r="B173" s="165" t="s">
        <v>119</v>
      </c>
      <c r="C173" s="165"/>
      <c r="D173" s="165"/>
      <c r="E173" s="165"/>
      <c r="F173" s="165"/>
      <c r="G173" s="165"/>
      <c r="H173" s="165"/>
      <c r="I173" s="165"/>
      <c r="J173" s="165"/>
      <c r="K173" s="165"/>
      <c r="L173" s="165"/>
      <c r="M173" s="165"/>
      <c r="N173" s="165"/>
      <c r="O173" s="165"/>
      <c r="P173" s="165"/>
      <c r="Q173" s="165"/>
      <c r="R173" s="165"/>
      <c r="S173" s="165"/>
      <c r="T173" s="138"/>
      <c r="U173" s="138"/>
      <c r="V173" s="138"/>
      <c r="W173" s="132" t="s">
        <v>36</v>
      </c>
      <c r="X173" s="132"/>
      <c r="Y173" s="132"/>
      <c r="Z173" s="132"/>
      <c r="AA173" s="132"/>
      <c r="AB173" s="216"/>
      <c r="AC173" s="216"/>
      <c r="AD173" s="216"/>
      <c r="AE173" s="132" t="s">
        <v>32</v>
      </c>
      <c r="AF173" s="132"/>
      <c r="AG173" s="194">
        <f>IF(ISNUMBER(AB173),AB173*9/5+32,"")</f>
      </c>
      <c r="AH173" s="194"/>
      <c r="AI173" s="194"/>
      <c r="AJ173" s="194"/>
      <c r="AK173" s="164" t="s">
        <v>33</v>
      </c>
      <c r="AL173" s="164"/>
      <c r="AM173" s="165" t="s">
        <v>40</v>
      </c>
      <c r="AN173" s="165"/>
      <c r="AO173" s="165"/>
      <c r="AP173" s="165"/>
      <c r="AQ173" s="165"/>
      <c r="AR173" s="165"/>
      <c r="AS173" s="165"/>
      <c r="AT173" s="165"/>
      <c r="AU173" s="216"/>
      <c r="AV173" s="216"/>
      <c r="AW173" s="216"/>
      <c r="AX173" s="179" t="s">
        <v>41</v>
      </c>
      <c r="AY173" s="132"/>
      <c r="AZ173" s="132"/>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9"/>
      <c r="BW173" s="89"/>
      <c r="BX173" s="89"/>
      <c r="BY173" s="165" t="s">
        <v>111</v>
      </c>
      <c r="BZ173" s="165"/>
      <c r="CA173" s="165"/>
      <c r="CB173" s="165"/>
      <c r="CC173" s="165"/>
      <c r="CD173" s="165"/>
      <c r="CE173" s="165"/>
      <c r="CF173" s="165"/>
      <c r="CG173" s="165"/>
      <c r="CH173" s="165"/>
      <c r="CI173" s="165"/>
      <c r="CJ173" s="165"/>
      <c r="CK173" s="162">
        <f>IF(DA121&gt;0,(DA121-1)*(1-B179/100)+1,IF(ISNUMBER(CQ121),(CQ121-1)*(1-B179/100)+1,O179))</f>
        <v>1.01525</v>
      </c>
      <c r="CL173" s="162"/>
      <c r="CM173" s="162"/>
      <c r="CN173" s="162"/>
      <c r="CO173" s="165" t="s">
        <v>153</v>
      </c>
      <c r="CP173" s="165"/>
      <c r="CQ173" s="165"/>
      <c r="CR173" s="165"/>
      <c r="CS173" s="165"/>
      <c r="CT173" s="165"/>
      <c r="CU173" s="165"/>
      <c r="CV173" s="165"/>
      <c r="CW173" s="165"/>
      <c r="CX173" s="165"/>
      <c r="CY173" s="165"/>
      <c r="CZ173" s="165"/>
      <c r="DA173" s="165"/>
      <c r="DB173" s="272"/>
      <c r="DC173" s="272"/>
      <c r="DD173" s="272"/>
      <c r="DE173" s="272"/>
      <c r="DF173" s="47"/>
      <c r="DG173" s="51"/>
      <c r="DH173" s="133">
        <f>IF(AND(DV173&gt;0,ISNUMBER(EA173)),DV173*(100-EA173)/100*0.46214,EK142)</f>
      </c>
      <c r="DI173" s="130">
        <f>IF(AND(ISNUMBER(EQ142),ISNUMBER($DI$188)),EQ142/100*$DI$188,"")</f>
        <v>8.419894955090783</v>
      </c>
      <c r="DJ173" s="202">
        <f>IF(AM64&gt;0,AM64,"")</f>
      </c>
      <c r="DK173" s="202"/>
      <c r="DL173" s="202"/>
      <c r="DM173" s="202"/>
      <c r="DN173" s="202"/>
      <c r="DO173" s="202"/>
      <c r="DP173" s="202"/>
      <c r="DQ173" s="202"/>
      <c r="DR173" s="202"/>
      <c r="DS173" s="202"/>
      <c r="DT173" s="202"/>
      <c r="DU173" s="202"/>
      <c r="DV173" s="204"/>
      <c r="DW173" s="204"/>
      <c r="DX173" s="204"/>
      <c r="DY173" s="179" t="s">
        <v>9</v>
      </c>
      <c r="DZ173" s="132"/>
      <c r="EA173" s="203"/>
      <c r="EB173" s="203"/>
      <c r="EC173" s="203"/>
      <c r="ED173" s="179" t="s">
        <v>9</v>
      </c>
      <c r="EE173" s="132"/>
      <c r="EF173" s="205">
        <f>IF(AND(DV173&gt;0,ISNUMBER(EA173)),DV173*(100-EA173)/100,"")</f>
      </c>
      <c r="EG173" s="205"/>
      <c r="EH173" s="205"/>
      <c r="EI173" s="179" t="s">
        <v>9</v>
      </c>
      <c r="EJ173" s="132"/>
      <c r="EK173" s="194">
        <f>IF(ISNUMBER(EF173),EF173*0.46214,"")</f>
      </c>
      <c r="EL173" s="194"/>
      <c r="EM173" s="194"/>
      <c r="EN173" s="164" t="s">
        <v>83</v>
      </c>
      <c r="EO173" s="164"/>
      <c r="EP173" s="164"/>
      <c r="EQ173" s="206">
        <f>IF(ISNUMBER(DH173),DH173,35.49)</f>
        <v>35.49</v>
      </c>
      <c r="ER173" s="19"/>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19"/>
      <c r="GB173" s="43"/>
    </row>
    <row r="174" spans="1:184" ht="7.5" customHeight="1">
      <c r="A174" s="43"/>
      <c r="B174" s="165"/>
      <c r="C174" s="165"/>
      <c r="D174" s="165"/>
      <c r="E174" s="165"/>
      <c r="F174" s="165"/>
      <c r="G174" s="165"/>
      <c r="H174" s="165"/>
      <c r="I174" s="165"/>
      <c r="J174" s="165"/>
      <c r="K174" s="165"/>
      <c r="L174" s="165"/>
      <c r="M174" s="165"/>
      <c r="N174" s="165"/>
      <c r="O174" s="165"/>
      <c r="P174" s="165"/>
      <c r="Q174" s="165"/>
      <c r="R174" s="165"/>
      <c r="S174" s="165"/>
      <c r="T174" s="138"/>
      <c r="U174" s="138"/>
      <c r="V174" s="138"/>
      <c r="W174" s="132"/>
      <c r="X174" s="132"/>
      <c r="Y174" s="132"/>
      <c r="Z174" s="132"/>
      <c r="AA174" s="132"/>
      <c r="AB174" s="216"/>
      <c r="AC174" s="216"/>
      <c r="AD174" s="216"/>
      <c r="AE174" s="132"/>
      <c r="AF174" s="132"/>
      <c r="AG174" s="194"/>
      <c r="AH174" s="194"/>
      <c r="AI174" s="194"/>
      <c r="AJ174" s="194"/>
      <c r="AK174" s="164"/>
      <c r="AL174" s="164"/>
      <c r="AM174" s="165"/>
      <c r="AN174" s="165"/>
      <c r="AO174" s="165"/>
      <c r="AP174" s="165"/>
      <c r="AQ174" s="165"/>
      <c r="AR174" s="165"/>
      <c r="AS174" s="165"/>
      <c r="AT174" s="165"/>
      <c r="AU174" s="216"/>
      <c r="AV174" s="216"/>
      <c r="AW174" s="216"/>
      <c r="AX174" s="132"/>
      <c r="AY174" s="132"/>
      <c r="AZ174" s="132"/>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9"/>
      <c r="BW174" s="89"/>
      <c r="BX174" s="94"/>
      <c r="BY174" s="165"/>
      <c r="BZ174" s="165"/>
      <c r="CA174" s="165"/>
      <c r="CB174" s="165"/>
      <c r="CC174" s="165"/>
      <c r="CD174" s="165"/>
      <c r="CE174" s="165"/>
      <c r="CF174" s="165"/>
      <c r="CG174" s="165"/>
      <c r="CH174" s="165"/>
      <c r="CI174" s="165"/>
      <c r="CJ174" s="165"/>
      <c r="CK174" s="162"/>
      <c r="CL174" s="162"/>
      <c r="CM174" s="162"/>
      <c r="CN174" s="162"/>
      <c r="CO174" s="165"/>
      <c r="CP174" s="165"/>
      <c r="CQ174" s="165"/>
      <c r="CR174" s="165"/>
      <c r="CS174" s="165"/>
      <c r="CT174" s="165"/>
      <c r="CU174" s="165"/>
      <c r="CV174" s="165"/>
      <c r="CW174" s="165"/>
      <c r="CX174" s="165"/>
      <c r="CY174" s="165"/>
      <c r="CZ174" s="165"/>
      <c r="DA174" s="165"/>
      <c r="DB174" s="272"/>
      <c r="DC174" s="272"/>
      <c r="DD174" s="272"/>
      <c r="DE174" s="272"/>
      <c r="DF174" s="47"/>
      <c r="DG174" s="51"/>
      <c r="DH174" s="133"/>
      <c r="DI174" s="130"/>
      <c r="DJ174" s="202"/>
      <c r="DK174" s="202"/>
      <c r="DL174" s="202"/>
      <c r="DM174" s="202"/>
      <c r="DN174" s="202"/>
      <c r="DO174" s="202"/>
      <c r="DP174" s="202"/>
      <c r="DQ174" s="202"/>
      <c r="DR174" s="202"/>
      <c r="DS174" s="202"/>
      <c r="DT174" s="202"/>
      <c r="DU174" s="202"/>
      <c r="DV174" s="204"/>
      <c r="DW174" s="204"/>
      <c r="DX174" s="204"/>
      <c r="DY174" s="132"/>
      <c r="DZ174" s="132"/>
      <c r="EA174" s="203"/>
      <c r="EB174" s="203"/>
      <c r="EC174" s="203"/>
      <c r="ED174" s="132"/>
      <c r="EE174" s="132"/>
      <c r="EF174" s="205"/>
      <c r="EG174" s="205"/>
      <c r="EH174" s="205"/>
      <c r="EI174" s="132"/>
      <c r="EJ174" s="132"/>
      <c r="EK174" s="194"/>
      <c r="EL174" s="194"/>
      <c r="EM174" s="194"/>
      <c r="EN174" s="164"/>
      <c r="EO174" s="164"/>
      <c r="EP174" s="164"/>
      <c r="EQ174" s="133"/>
      <c r="ER174" s="19"/>
      <c r="ES174" s="200"/>
      <c r="ET174" s="200"/>
      <c r="EU174" s="200"/>
      <c r="EV174" s="200"/>
      <c r="EW174" s="200"/>
      <c r="EX174" s="180"/>
      <c r="EY174" s="200"/>
      <c r="EZ174" s="200"/>
      <c r="FA174" s="200"/>
      <c r="FB174" s="200"/>
      <c r="FC174" s="200"/>
      <c r="FD174" s="200"/>
      <c r="FE174" s="200"/>
      <c r="FF174" s="200"/>
      <c r="FG174" s="200"/>
      <c r="FH174" s="200"/>
      <c r="FI174" s="200"/>
      <c r="FJ174" s="200"/>
      <c r="FK174" s="200"/>
      <c r="FL174" s="200"/>
      <c r="FM174" s="200"/>
      <c r="FN174" s="200"/>
      <c r="FO174" s="200"/>
      <c r="FP174" s="200"/>
      <c r="FQ174" s="200"/>
      <c r="FR174" s="200"/>
      <c r="FS174" s="200"/>
      <c r="FT174" s="200"/>
      <c r="FU174" s="64"/>
      <c r="FV174" s="201"/>
      <c r="FW174" s="201"/>
      <c r="FX174" s="201"/>
      <c r="FY174" s="201"/>
      <c r="FZ174" s="201"/>
      <c r="GA174" s="19"/>
      <c r="GB174" s="43"/>
    </row>
    <row r="175" spans="1:184" ht="7.5" customHeight="1">
      <c r="A175" s="43"/>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19"/>
      <c r="AN175" s="19"/>
      <c r="AO175" s="19"/>
      <c r="AP175" s="19"/>
      <c r="AQ175" s="19"/>
      <c r="AR175" s="19"/>
      <c r="AS175" s="19"/>
      <c r="AT175" s="19"/>
      <c r="AU175" s="19"/>
      <c r="AV175" s="19"/>
      <c r="AW175" s="19"/>
      <c r="AX175" s="79"/>
      <c r="AY175" s="79"/>
      <c r="AZ175" s="7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89"/>
      <c r="BX175" s="95"/>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51"/>
      <c r="DH175" s="51"/>
      <c r="DI175" s="74"/>
      <c r="DJ175" s="20"/>
      <c r="DK175" s="20"/>
      <c r="DL175" s="20"/>
      <c r="DM175" s="20"/>
      <c r="DN175" s="20"/>
      <c r="DO175" s="20"/>
      <c r="DP175" s="20"/>
      <c r="DQ175" s="20"/>
      <c r="DR175" s="20"/>
      <c r="DS175" s="20"/>
      <c r="DT175" s="20"/>
      <c r="DU175" s="20"/>
      <c r="DV175" s="66"/>
      <c r="DW175" s="66"/>
      <c r="DX175" s="66"/>
      <c r="DY175" s="19"/>
      <c r="DZ175" s="19"/>
      <c r="EA175" s="66"/>
      <c r="EB175" s="66"/>
      <c r="EC175" s="66"/>
      <c r="ED175" s="19"/>
      <c r="EE175" s="19"/>
      <c r="EF175" s="66"/>
      <c r="EG175" s="66"/>
      <c r="EH175" s="66"/>
      <c r="EI175" s="19"/>
      <c r="EJ175" s="19"/>
      <c r="EK175" s="66"/>
      <c r="EL175" s="66"/>
      <c r="EM175" s="66"/>
      <c r="EN175" s="19"/>
      <c r="EO175" s="19"/>
      <c r="EP175" s="19"/>
      <c r="EQ175" s="51"/>
      <c r="ER175" s="19"/>
      <c r="ES175" s="200"/>
      <c r="ET175" s="200"/>
      <c r="EU175" s="200"/>
      <c r="EV175" s="200"/>
      <c r="EW175" s="200"/>
      <c r="EX175" s="180"/>
      <c r="EY175" s="200"/>
      <c r="EZ175" s="200"/>
      <c r="FA175" s="200"/>
      <c r="FB175" s="200"/>
      <c r="FC175" s="200"/>
      <c r="FD175" s="200"/>
      <c r="FE175" s="200"/>
      <c r="FF175" s="200"/>
      <c r="FG175" s="200"/>
      <c r="FH175" s="200"/>
      <c r="FI175" s="200"/>
      <c r="FJ175" s="200"/>
      <c r="FK175" s="200"/>
      <c r="FL175" s="200"/>
      <c r="FM175" s="200"/>
      <c r="FN175" s="200"/>
      <c r="FO175" s="200"/>
      <c r="FP175" s="200"/>
      <c r="FQ175" s="200"/>
      <c r="FR175" s="200"/>
      <c r="FS175" s="200"/>
      <c r="FT175" s="200"/>
      <c r="FU175" s="64"/>
      <c r="FV175" s="201"/>
      <c r="FW175" s="201"/>
      <c r="FX175" s="201"/>
      <c r="FY175" s="201"/>
      <c r="FZ175" s="201"/>
      <c r="GA175" s="19"/>
      <c r="GB175" s="43"/>
    </row>
    <row r="176" spans="1:184" ht="7.5" customHeight="1">
      <c r="A176" s="43"/>
      <c r="B176" s="36"/>
      <c r="C176" s="293" t="s">
        <v>345</v>
      </c>
      <c r="D176" s="293"/>
      <c r="E176" s="293"/>
      <c r="F176" s="293"/>
      <c r="G176" s="293"/>
      <c r="H176" s="293"/>
      <c r="I176" s="293"/>
      <c r="J176" s="293"/>
      <c r="K176" s="293"/>
      <c r="L176" s="131"/>
      <c r="M176" s="131"/>
      <c r="N176" s="167" t="s">
        <v>346</v>
      </c>
      <c r="O176" s="167"/>
      <c r="P176" s="167"/>
      <c r="Q176" s="167"/>
      <c r="R176" s="167"/>
      <c r="S176" s="167"/>
      <c r="T176" s="167"/>
      <c r="U176" s="167"/>
      <c r="V176" s="167"/>
      <c r="W176" s="167"/>
      <c r="X176" s="167"/>
      <c r="Y176" s="131"/>
      <c r="Z176" s="131"/>
      <c r="AA176" s="118"/>
      <c r="AB176" s="167" t="s">
        <v>347</v>
      </c>
      <c r="AC176" s="167"/>
      <c r="AD176" s="167"/>
      <c r="AE176" s="167"/>
      <c r="AF176" s="167"/>
      <c r="AG176" s="167"/>
      <c r="AH176" s="167"/>
      <c r="AI176" s="167"/>
      <c r="AJ176" s="131"/>
      <c r="AK176" s="131"/>
      <c r="AL176" s="47"/>
      <c r="AM176" s="19"/>
      <c r="AN176" s="165" t="s">
        <v>42</v>
      </c>
      <c r="AO176" s="165"/>
      <c r="AP176" s="165"/>
      <c r="AQ176" s="165"/>
      <c r="AR176" s="165"/>
      <c r="AS176" s="165"/>
      <c r="AT176" s="165"/>
      <c r="AU176" s="216"/>
      <c r="AV176" s="216"/>
      <c r="AW176" s="216"/>
      <c r="AX176" s="179" t="s">
        <v>45</v>
      </c>
      <c r="AY176" s="132"/>
      <c r="AZ176" s="132"/>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9"/>
      <c r="BW176" s="89"/>
      <c r="BX176" s="95"/>
      <c r="BY176" s="165" t="s">
        <v>178</v>
      </c>
      <c r="BZ176" s="165"/>
      <c r="CA176" s="165"/>
      <c r="CB176" s="165"/>
      <c r="CC176" s="165"/>
      <c r="CD176" s="165"/>
      <c r="CE176" s="165"/>
      <c r="CF176" s="165"/>
      <c r="CG176" s="165"/>
      <c r="CH176" s="165"/>
      <c r="CI176" s="165"/>
      <c r="CJ176" s="165"/>
      <c r="CK176" s="165"/>
      <c r="CL176" s="271">
        <f>IF(AND(ISNUMBER(DG184),ISNUMBER(DG182)),(1-(DG184/DG182))*100,"")</f>
        <v>74.04327846158098</v>
      </c>
      <c r="CM176" s="271"/>
      <c r="CN176" s="271"/>
      <c r="CO176" s="207" t="s">
        <v>9</v>
      </c>
      <c r="CP176" s="207"/>
      <c r="CQ176" s="165" t="s">
        <v>179</v>
      </c>
      <c r="CR176" s="165"/>
      <c r="CS176" s="165"/>
      <c r="CT176" s="165"/>
      <c r="CU176" s="165"/>
      <c r="CV176" s="165"/>
      <c r="CW176" s="165"/>
      <c r="CX176" s="165"/>
      <c r="CY176" s="165"/>
      <c r="CZ176" s="165"/>
      <c r="DA176" s="271">
        <f>IF(AND(ISNUMBER(DG180)),(1-(DG180/DG182))*100,"")</f>
        <v>60.656253715727146</v>
      </c>
      <c r="DB176" s="271"/>
      <c r="DC176" s="271"/>
      <c r="DD176" s="207" t="s">
        <v>9</v>
      </c>
      <c r="DE176" s="207"/>
      <c r="DF176" s="19"/>
      <c r="DG176" s="51"/>
      <c r="DH176" s="133">
        <f>IF(AND(DV176&gt;0,ISNUMBER(EA176)),DV176*(100-EA176)/100*0.46214,EK145)</f>
      </c>
      <c r="DI176" s="130">
        <f>IF(AND(ISNUMBER(EQ145),ISNUMBER($DI$188)),EQ145/100*$DI$188,"")</f>
        <v>8.419894955090783</v>
      </c>
      <c r="DJ176" s="202">
        <f>IF(AM67&gt;0,AM67,"")</f>
      </c>
      <c r="DK176" s="202"/>
      <c r="DL176" s="202"/>
      <c r="DM176" s="202"/>
      <c r="DN176" s="202"/>
      <c r="DO176" s="202"/>
      <c r="DP176" s="202"/>
      <c r="DQ176" s="202"/>
      <c r="DR176" s="202"/>
      <c r="DS176" s="202"/>
      <c r="DT176" s="202"/>
      <c r="DU176" s="202"/>
      <c r="DV176" s="204"/>
      <c r="DW176" s="204"/>
      <c r="DX176" s="204"/>
      <c r="DY176" s="179" t="s">
        <v>9</v>
      </c>
      <c r="DZ176" s="132"/>
      <c r="EA176" s="203"/>
      <c r="EB176" s="203"/>
      <c r="EC176" s="203"/>
      <c r="ED176" s="179" t="s">
        <v>9</v>
      </c>
      <c r="EE176" s="132"/>
      <c r="EF176" s="205">
        <f>IF(AND(DV176&gt;0,ISNUMBER(EA176)),DV176*(100-EA176)/100,"")</f>
      </c>
      <c r="EG176" s="205"/>
      <c r="EH176" s="205"/>
      <c r="EI176" s="179" t="s">
        <v>9</v>
      </c>
      <c r="EJ176" s="132"/>
      <c r="EK176" s="194">
        <f>IF(ISNUMBER(EF176),EF176*0.46214,"")</f>
      </c>
      <c r="EL176" s="194"/>
      <c r="EM176" s="194"/>
      <c r="EN176" s="164" t="s">
        <v>83</v>
      </c>
      <c r="EO176" s="164"/>
      <c r="EP176" s="164"/>
      <c r="EQ176" s="206">
        <f>IF(ISNUMBER(DH176),DH176,35.49)</f>
        <v>35.49</v>
      </c>
      <c r="ER176" s="19"/>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19"/>
      <c r="GB176" s="43"/>
    </row>
    <row r="177" spans="1:184" ht="7.5" customHeight="1">
      <c r="A177" s="43"/>
      <c r="B177" s="36"/>
      <c r="C177" s="293"/>
      <c r="D177" s="293"/>
      <c r="E177" s="293"/>
      <c r="F177" s="293"/>
      <c r="G177" s="293"/>
      <c r="H177" s="293"/>
      <c r="I177" s="293"/>
      <c r="J177" s="293"/>
      <c r="K177" s="293"/>
      <c r="L177" s="131"/>
      <c r="M177" s="131"/>
      <c r="N177" s="167"/>
      <c r="O177" s="167"/>
      <c r="P177" s="167"/>
      <c r="Q177" s="167"/>
      <c r="R177" s="167"/>
      <c r="S177" s="167"/>
      <c r="T177" s="167"/>
      <c r="U177" s="167"/>
      <c r="V177" s="167"/>
      <c r="W177" s="167"/>
      <c r="X177" s="167"/>
      <c r="Y177" s="131"/>
      <c r="Z177" s="131"/>
      <c r="AA177" s="118"/>
      <c r="AB177" s="167"/>
      <c r="AC177" s="167"/>
      <c r="AD177" s="167"/>
      <c r="AE177" s="167"/>
      <c r="AF177" s="167"/>
      <c r="AG177" s="167"/>
      <c r="AH177" s="167"/>
      <c r="AI177" s="167"/>
      <c r="AJ177" s="131"/>
      <c r="AK177" s="131"/>
      <c r="AL177" s="47"/>
      <c r="AM177" s="19"/>
      <c r="AN177" s="165"/>
      <c r="AO177" s="165"/>
      <c r="AP177" s="165"/>
      <c r="AQ177" s="165"/>
      <c r="AR177" s="165"/>
      <c r="AS177" s="165"/>
      <c r="AT177" s="165"/>
      <c r="AU177" s="216"/>
      <c r="AV177" s="216"/>
      <c r="AW177" s="216"/>
      <c r="AX177" s="132"/>
      <c r="AY177" s="132"/>
      <c r="AZ177" s="132"/>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9"/>
      <c r="BW177" s="89"/>
      <c r="BX177" s="94"/>
      <c r="BY177" s="165"/>
      <c r="BZ177" s="165"/>
      <c r="CA177" s="165"/>
      <c r="CB177" s="165"/>
      <c r="CC177" s="165"/>
      <c r="CD177" s="165"/>
      <c r="CE177" s="165"/>
      <c r="CF177" s="165"/>
      <c r="CG177" s="165"/>
      <c r="CH177" s="165"/>
      <c r="CI177" s="165"/>
      <c r="CJ177" s="165"/>
      <c r="CK177" s="165"/>
      <c r="CL177" s="271"/>
      <c r="CM177" s="271"/>
      <c r="CN177" s="271"/>
      <c r="CO177" s="207"/>
      <c r="CP177" s="207"/>
      <c r="CQ177" s="165"/>
      <c r="CR177" s="165"/>
      <c r="CS177" s="165"/>
      <c r="CT177" s="165"/>
      <c r="CU177" s="165"/>
      <c r="CV177" s="165"/>
      <c r="CW177" s="165"/>
      <c r="CX177" s="165"/>
      <c r="CY177" s="165"/>
      <c r="CZ177" s="165"/>
      <c r="DA177" s="271"/>
      <c r="DB177" s="271"/>
      <c r="DC177" s="271"/>
      <c r="DD177" s="207"/>
      <c r="DE177" s="207"/>
      <c r="DF177" s="19"/>
      <c r="DG177" s="51"/>
      <c r="DH177" s="133"/>
      <c r="DI177" s="130"/>
      <c r="DJ177" s="202"/>
      <c r="DK177" s="202"/>
      <c r="DL177" s="202"/>
      <c r="DM177" s="202"/>
      <c r="DN177" s="202"/>
      <c r="DO177" s="202"/>
      <c r="DP177" s="202"/>
      <c r="DQ177" s="202"/>
      <c r="DR177" s="202"/>
      <c r="DS177" s="202"/>
      <c r="DT177" s="202"/>
      <c r="DU177" s="202"/>
      <c r="DV177" s="204"/>
      <c r="DW177" s="204"/>
      <c r="DX177" s="204"/>
      <c r="DY177" s="132"/>
      <c r="DZ177" s="132"/>
      <c r="EA177" s="203"/>
      <c r="EB177" s="203"/>
      <c r="EC177" s="203"/>
      <c r="ED177" s="132"/>
      <c r="EE177" s="132"/>
      <c r="EF177" s="205"/>
      <c r="EG177" s="205"/>
      <c r="EH177" s="205"/>
      <c r="EI177" s="132"/>
      <c r="EJ177" s="132"/>
      <c r="EK177" s="194"/>
      <c r="EL177" s="194"/>
      <c r="EM177" s="194"/>
      <c r="EN177" s="164"/>
      <c r="EO177" s="164"/>
      <c r="EP177" s="164"/>
      <c r="EQ177" s="133"/>
      <c r="ER177" s="19"/>
      <c r="ES177" s="200"/>
      <c r="ET177" s="200"/>
      <c r="EU177" s="200"/>
      <c r="EV177" s="200"/>
      <c r="EW177" s="200"/>
      <c r="EX177" s="180"/>
      <c r="EY177" s="200"/>
      <c r="EZ177" s="200"/>
      <c r="FA177" s="200"/>
      <c r="FB177" s="200"/>
      <c r="FC177" s="200"/>
      <c r="FD177" s="200"/>
      <c r="FE177" s="200"/>
      <c r="FF177" s="200"/>
      <c r="FG177" s="200"/>
      <c r="FH177" s="200"/>
      <c r="FI177" s="200"/>
      <c r="FJ177" s="200"/>
      <c r="FK177" s="200"/>
      <c r="FL177" s="200"/>
      <c r="FM177" s="200"/>
      <c r="FN177" s="200"/>
      <c r="FO177" s="200"/>
      <c r="FP177" s="200"/>
      <c r="FQ177" s="200"/>
      <c r="FR177" s="200"/>
      <c r="FS177" s="200"/>
      <c r="FT177" s="200"/>
      <c r="FU177" s="64"/>
      <c r="FV177" s="201"/>
      <c r="FW177" s="201"/>
      <c r="FX177" s="201"/>
      <c r="FY177" s="201"/>
      <c r="FZ177" s="201"/>
      <c r="GA177" s="19"/>
      <c r="GB177" s="43"/>
    </row>
    <row r="178" spans="1:184" ht="7.5" customHeight="1">
      <c r="A178" s="43"/>
      <c r="B178" s="19"/>
      <c r="C178" s="19"/>
      <c r="D178" s="19"/>
      <c r="E178" s="19"/>
      <c r="F178" s="19"/>
      <c r="G178" s="19"/>
      <c r="H178" s="19"/>
      <c r="I178" s="19"/>
      <c r="J178" s="19"/>
      <c r="K178" s="19"/>
      <c r="L178" s="19"/>
      <c r="M178" s="19"/>
      <c r="N178" s="19"/>
      <c r="O178" s="19"/>
      <c r="P178" s="19"/>
      <c r="Q178" s="19"/>
      <c r="R178" s="19"/>
      <c r="S178" s="47"/>
      <c r="T178" s="19"/>
      <c r="U178" s="19"/>
      <c r="V178" s="19"/>
      <c r="W178" s="19"/>
      <c r="X178" s="19"/>
      <c r="Y178" s="19"/>
      <c r="Z178" s="19"/>
      <c r="AA178" s="19"/>
      <c r="AB178" s="19"/>
      <c r="AC178" s="19"/>
      <c r="AD178" s="19"/>
      <c r="AE178" s="19"/>
      <c r="AF178" s="19"/>
      <c r="AG178" s="19"/>
      <c r="AH178" s="19"/>
      <c r="AI178" s="19"/>
      <c r="AJ178" s="19"/>
      <c r="AK178" s="19"/>
      <c r="AL178" s="47"/>
      <c r="AM178" s="19"/>
      <c r="AN178" s="19"/>
      <c r="AO178" s="19"/>
      <c r="AP178" s="19"/>
      <c r="AQ178" s="19"/>
      <c r="AR178" s="19"/>
      <c r="AS178" s="19"/>
      <c r="AT178" s="19"/>
      <c r="AU178" s="19"/>
      <c r="AV178" s="19"/>
      <c r="AW178" s="19"/>
      <c r="AX178" s="79"/>
      <c r="AY178" s="79"/>
      <c r="AZ178" s="7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89"/>
      <c r="BX178" s="89"/>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51"/>
      <c r="DH178" s="51"/>
      <c r="DI178" s="74"/>
      <c r="DJ178" s="20"/>
      <c r="DK178" s="20"/>
      <c r="DL178" s="20"/>
      <c r="DM178" s="20"/>
      <c r="DN178" s="20"/>
      <c r="DO178" s="20"/>
      <c r="DP178" s="20"/>
      <c r="DQ178" s="20"/>
      <c r="DR178" s="20"/>
      <c r="DS178" s="20"/>
      <c r="DT178" s="20"/>
      <c r="DU178" s="20"/>
      <c r="DV178" s="66"/>
      <c r="DW178" s="66"/>
      <c r="DX178" s="66"/>
      <c r="DY178" s="19"/>
      <c r="DZ178" s="19"/>
      <c r="EA178" s="66"/>
      <c r="EB178" s="66"/>
      <c r="EC178" s="66"/>
      <c r="ED178" s="19"/>
      <c r="EE178" s="19"/>
      <c r="EF178" s="66"/>
      <c r="EG178" s="66"/>
      <c r="EH178" s="66"/>
      <c r="EI178" s="19"/>
      <c r="EJ178" s="19"/>
      <c r="EK178" s="66"/>
      <c r="EL178" s="66"/>
      <c r="EM178" s="66"/>
      <c r="EN178" s="19"/>
      <c r="EO178" s="19"/>
      <c r="EP178" s="19"/>
      <c r="EQ178" s="51"/>
      <c r="ER178" s="19"/>
      <c r="ES178" s="200"/>
      <c r="ET178" s="200"/>
      <c r="EU178" s="200"/>
      <c r="EV178" s="200"/>
      <c r="EW178" s="200"/>
      <c r="EX178" s="180"/>
      <c r="EY178" s="200"/>
      <c r="EZ178" s="200"/>
      <c r="FA178" s="200"/>
      <c r="FB178" s="200"/>
      <c r="FC178" s="200"/>
      <c r="FD178" s="200"/>
      <c r="FE178" s="200"/>
      <c r="FF178" s="200"/>
      <c r="FG178" s="200"/>
      <c r="FH178" s="200"/>
      <c r="FI178" s="200"/>
      <c r="FJ178" s="200"/>
      <c r="FK178" s="200"/>
      <c r="FL178" s="200"/>
      <c r="FM178" s="200"/>
      <c r="FN178" s="200"/>
      <c r="FO178" s="200"/>
      <c r="FP178" s="200"/>
      <c r="FQ178" s="200"/>
      <c r="FR178" s="200"/>
      <c r="FS178" s="200"/>
      <c r="FT178" s="200"/>
      <c r="FU178" s="64"/>
      <c r="FV178" s="201"/>
      <c r="FW178" s="201"/>
      <c r="FX178" s="201"/>
      <c r="FY178" s="201"/>
      <c r="FZ178" s="201"/>
      <c r="GA178" s="19"/>
      <c r="GB178" s="43"/>
    </row>
    <row r="179" spans="1:184" ht="7.5" customHeight="1">
      <c r="A179" s="43"/>
      <c r="B179" s="130">
        <f>IF(AG179&gt;0,AG179,75)</f>
        <v>75</v>
      </c>
      <c r="C179" s="270" t="s">
        <v>111</v>
      </c>
      <c r="D179" s="270"/>
      <c r="E179" s="270"/>
      <c r="F179" s="270"/>
      <c r="G179" s="270"/>
      <c r="H179" s="270"/>
      <c r="I179" s="270"/>
      <c r="J179" s="270"/>
      <c r="K179" s="270"/>
      <c r="L179" s="270"/>
      <c r="M179" s="270"/>
      <c r="N179" s="270"/>
      <c r="O179" s="276">
        <f>AH36</f>
        <v>1.01525</v>
      </c>
      <c r="P179" s="276"/>
      <c r="Q179" s="276"/>
      <c r="R179" s="276"/>
      <c r="S179" s="270" t="s">
        <v>383</v>
      </c>
      <c r="T179" s="270"/>
      <c r="U179" s="270"/>
      <c r="V179" s="270"/>
      <c r="W179" s="270"/>
      <c r="X179" s="270"/>
      <c r="Y179" s="270"/>
      <c r="Z179" s="270"/>
      <c r="AA179" s="270"/>
      <c r="AB179" s="270"/>
      <c r="AC179" s="270"/>
      <c r="AD179" s="270"/>
      <c r="AE179" s="270"/>
      <c r="AF179" s="270"/>
      <c r="AG179" s="131">
        <v>75</v>
      </c>
      <c r="AH179" s="131"/>
      <c r="AI179" s="131"/>
      <c r="AJ179" s="294" t="s">
        <v>9</v>
      </c>
      <c r="AK179" s="294"/>
      <c r="AL179" s="47"/>
      <c r="AM179" s="19"/>
      <c r="AN179" s="165" t="s">
        <v>43</v>
      </c>
      <c r="AO179" s="165"/>
      <c r="AP179" s="165"/>
      <c r="AQ179" s="165"/>
      <c r="AR179" s="165"/>
      <c r="AS179" s="165"/>
      <c r="AT179" s="165"/>
      <c r="AU179" s="216"/>
      <c r="AV179" s="216"/>
      <c r="AW179" s="216"/>
      <c r="AX179" s="179" t="s">
        <v>46</v>
      </c>
      <c r="AY179" s="132"/>
      <c r="AZ179" s="132"/>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9"/>
      <c r="BW179" s="89"/>
      <c r="BX179" s="89"/>
      <c r="BY179" s="165" t="s">
        <v>146</v>
      </c>
      <c r="BZ179" s="165"/>
      <c r="CA179" s="165"/>
      <c r="CB179" s="165"/>
      <c r="CC179" s="165"/>
      <c r="CD179" s="165"/>
      <c r="CE179" s="165"/>
      <c r="CF179" s="268"/>
      <c r="CG179" s="268"/>
      <c r="CH179" s="268"/>
      <c r="CI179" s="268"/>
      <c r="CJ179" s="132" t="s">
        <v>66</v>
      </c>
      <c r="CK179" s="132"/>
      <c r="CL179" s="132"/>
      <c r="CM179" s="144">
        <f>IF(ISNUMBER(CF179),CF179*0.03381402270184,"")</f>
      </c>
      <c r="CN179" s="144"/>
      <c r="CO179" s="144"/>
      <c r="CP179" s="144"/>
      <c r="CQ179" s="161" t="s">
        <v>67</v>
      </c>
      <c r="CR179" s="161"/>
      <c r="CS179" s="162" t="s">
        <v>349</v>
      </c>
      <c r="CT179" s="162"/>
      <c r="CU179" s="162"/>
      <c r="CV179" s="162"/>
      <c r="CW179" s="162"/>
      <c r="CX179" s="162"/>
      <c r="CY179" s="162"/>
      <c r="CZ179" s="208">
        <f>IF(ISNUMBER(CT184),CT184*4.184,"")</f>
      </c>
      <c r="DA179" s="208"/>
      <c r="DB179" s="208"/>
      <c r="DC179" s="208"/>
      <c r="DD179" s="164" t="s">
        <v>348</v>
      </c>
      <c r="DE179" s="164"/>
      <c r="DF179" s="118"/>
      <c r="DG179" s="51" t="s">
        <v>174</v>
      </c>
      <c r="DH179" s="133">
        <f>IF(AND(DV179&gt;0,ISNUMBER(EA179)),DV179*(100-EA179)/100*0.46214,EK148)</f>
      </c>
      <c r="DI179" s="130">
        <f>IF(AND(ISNUMBER(EQ148),ISNUMBER($DI$188)),EQ148/100*$DI$188,"")</f>
      </c>
      <c r="DJ179" s="202">
        <f>IF(AM70&gt;0,AM70,"")</f>
      </c>
      <c r="DK179" s="202"/>
      <c r="DL179" s="202"/>
      <c r="DM179" s="202"/>
      <c r="DN179" s="202"/>
      <c r="DO179" s="202"/>
      <c r="DP179" s="202"/>
      <c r="DQ179" s="202"/>
      <c r="DR179" s="202"/>
      <c r="DS179" s="202"/>
      <c r="DT179" s="202"/>
      <c r="DU179" s="202"/>
      <c r="DV179" s="204"/>
      <c r="DW179" s="204"/>
      <c r="DX179" s="204"/>
      <c r="DY179" s="179" t="s">
        <v>9</v>
      </c>
      <c r="DZ179" s="132"/>
      <c r="EA179" s="203"/>
      <c r="EB179" s="203"/>
      <c r="EC179" s="203"/>
      <c r="ED179" s="179" t="s">
        <v>9</v>
      </c>
      <c r="EE179" s="132"/>
      <c r="EF179" s="205">
        <f>IF(AND(DV179&gt;0,ISNUMBER(EA179)),DV179*(100-EA179)/100,"")</f>
      </c>
      <c r="EG179" s="205"/>
      <c r="EH179" s="205"/>
      <c r="EI179" s="179" t="s">
        <v>9</v>
      </c>
      <c r="EJ179" s="132"/>
      <c r="EK179" s="194">
        <f>IF(ISNUMBER(EF179),EF179*0.46214,"")</f>
      </c>
      <c r="EL179" s="194"/>
      <c r="EM179" s="194"/>
      <c r="EN179" s="164" t="s">
        <v>83</v>
      </c>
      <c r="EO179" s="164"/>
      <c r="EP179" s="164"/>
      <c r="EQ179" s="206">
        <f>IF(ISNUMBER(DH179),DH179,35.49)</f>
        <v>35.49</v>
      </c>
      <c r="ER179" s="19"/>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19"/>
      <c r="GB179" s="43"/>
    </row>
    <row r="180" spans="1:184" ht="7.5" customHeight="1">
      <c r="A180" s="43"/>
      <c r="B180" s="130"/>
      <c r="C180" s="270"/>
      <c r="D180" s="270"/>
      <c r="E180" s="270"/>
      <c r="F180" s="270"/>
      <c r="G180" s="270"/>
      <c r="H180" s="270"/>
      <c r="I180" s="270"/>
      <c r="J180" s="270"/>
      <c r="K180" s="270"/>
      <c r="L180" s="270"/>
      <c r="M180" s="270"/>
      <c r="N180" s="270"/>
      <c r="O180" s="276"/>
      <c r="P180" s="276"/>
      <c r="Q180" s="276"/>
      <c r="R180" s="276"/>
      <c r="S180" s="270"/>
      <c r="T180" s="270"/>
      <c r="U180" s="270"/>
      <c r="V180" s="270"/>
      <c r="W180" s="270"/>
      <c r="X180" s="270"/>
      <c r="Y180" s="270"/>
      <c r="Z180" s="270"/>
      <c r="AA180" s="270"/>
      <c r="AB180" s="270"/>
      <c r="AC180" s="270"/>
      <c r="AD180" s="270"/>
      <c r="AE180" s="270"/>
      <c r="AF180" s="270"/>
      <c r="AG180" s="131"/>
      <c r="AH180" s="131"/>
      <c r="AI180" s="131"/>
      <c r="AJ180" s="294"/>
      <c r="AK180" s="294"/>
      <c r="AL180" s="47"/>
      <c r="AM180" s="19"/>
      <c r="AN180" s="165"/>
      <c r="AO180" s="165"/>
      <c r="AP180" s="165"/>
      <c r="AQ180" s="165"/>
      <c r="AR180" s="165"/>
      <c r="AS180" s="165"/>
      <c r="AT180" s="165"/>
      <c r="AU180" s="216"/>
      <c r="AV180" s="216"/>
      <c r="AW180" s="216"/>
      <c r="AX180" s="132"/>
      <c r="AY180" s="132"/>
      <c r="AZ180" s="132"/>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9"/>
      <c r="BW180" s="89"/>
      <c r="BX180" s="89"/>
      <c r="BY180" s="165"/>
      <c r="BZ180" s="165"/>
      <c r="CA180" s="165"/>
      <c r="CB180" s="165"/>
      <c r="CC180" s="165"/>
      <c r="CD180" s="165"/>
      <c r="CE180" s="165"/>
      <c r="CF180" s="268"/>
      <c r="CG180" s="268"/>
      <c r="CH180" s="268"/>
      <c r="CI180" s="268"/>
      <c r="CJ180" s="132"/>
      <c r="CK180" s="132"/>
      <c r="CL180" s="132"/>
      <c r="CM180" s="144"/>
      <c r="CN180" s="144"/>
      <c r="CO180" s="144"/>
      <c r="CP180" s="144"/>
      <c r="CQ180" s="161"/>
      <c r="CR180" s="161"/>
      <c r="CS180" s="162"/>
      <c r="CT180" s="162"/>
      <c r="CU180" s="162"/>
      <c r="CV180" s="162"/>
      <c r="CW180" s="162"/>
      <c r="CX180" s="162"/>
      <c r="CY180" s="162"/>
      <c r="CZ180" s="208"/>
      <c r="DA180" s="208"/>
      <c r="DB180" s="208"/>
      <c r="DC180" s="208"/>
      <c r="DD180" s="164"/>
      <c r="DE180" s="164"/>
      <c r="DF180" s="118"/>
      <c r="DG180" s="96">
        <f>IF(AND(ISNUMBER(DG182),ISNUMBER(DG184)),0.1808*DG182+0.8192*DG184,"")</f>
        <v>5.891770326800071</v>
      </c>
      <c r="DH180" s="133"/>
      <c r="DI180" s="130"/>
      <c r="DJ180" s="202"/>
      <c r="DK180" s="202"/>
      <c r="DL180" s="202"/>
      <c r="DM180" s="202"/>
      <c r="DN180" s="202"/>
      <c r="DO180" s="202"/>
      <c r="DP180" s="202"/>
      <c r="DQ180" s="202"/>
      <c r="DR180" s="202"/>
      <c r="DS180" s="202"/>
      <c r="DT180" s="202"/>
      <c r="DU180" s="202"/>
      <c r="DV180" s="204"/>
      <c r="DW180" s="204"/>
      <c r="DX180" s="204"/>
      <c r="DY180" s="132"/>
      <c r="DZ180" s="132"/>
      <c r="EA180" s="203"/>
      <c r="EB180" s="203"/>
      <c r="EC180" s="203"/>
      <c r="ED180" s="132"/>
      <c r="EE180" s="132"/>
      <c r="EF180" s="205"/>
      <c r="EG180" s="205"/>
      <c r="EH180" s="205"/>
      <c r="EI180" s="132"/>
      <c r="EJ180" s="132"/>
      <c r="EK180" s="194"/>
      <c r="EL180" s="194"/>
      <c r="EM180" s="194"/>
      <c r="EN180" s="164"/>
      <c r="EO180" s="164"/>
      <c r="EP180" s="164"/>
      <c r="EQ180" s="133"/>
      <c r="ER180" s="19"/>
      <c r="ES180" s="200"/>
      <c r="ET180" s="200"/>
      <c r="EU180" s="200"/>
      <c r="EV180" s="200"/>
      <c r="EW180" s="200"/>
      <c r="EX180" s="180"/>
      <c r="EY180" s="200"/>
      <c r="EZ180" s="200"/>
      <c r="FA180" s="200"/>
      <c r="FB180" s="200"/>
      <c r="FC180" s="200"/>
      <c r="FD180" s="200"/>
      <c r="FE180" s="200"/>
      <c r="FF180" s="200"/>
      <c r="FG180" s="200"/>
      <c r="FH180" s="200"/>
      <c r="FI180" s="200"/>
      <c r="FJ180" s="200"/>
      <c r="FK180" s="200"/>
      <c r="FL180" s="200"/>
      <c r="FM180" s="200"/>
      <c r="FN180" s="200"/>
      <c r="FO180" s="200"/>
      <c r="FP180" s="200"/>
      <c r="FQ180" s="200"/>
      <c r="FR180" s="200"/>
      <c r="FS180" s="200"/>
      <c r="FT180" s="200"/>
      <c r="FU180" s="64"/>
      <c r="FV180" s="201"/>
      <c r="FW180" s="201"/>
      <c r="FX180" s="201"/>
      <c r="FY180" s="201"/>
      <c r="FZ180" s="201"/>
      <c r="GA180" s="19"/>
      <c r="GB180" s="43"/>
    </row>
    <row r="181" spans="1:184" ht="7.5" customHeight="1">
      <c r="A181" s="9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19"/>
      <c r="AN181" s="19"/>
      <c r="AO181" s="19"/>
      <c r="AP181" s="19"/>
      <c r="AQ181" s="19"/>
      <c r="AR181" s="19"/>
      <c r="AS181" s="19"/>
      <c r="AT181" s="19"/>
      <c r="AU181" s="19"/>
      <c r="AV181" s="19"/>
      <c r="AW181" s="19"/>
      <c r="AX181" s="79"/>
      <c r="AY181" s="79"/>
      <c r="AZ181" s="7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89"/>
      <c r="BX181" s="89"/>
      <c r="BY181" s="19"/>
      <c r="BZ181" s="19"/>
      <c r="CA181" s="19"/>
      <c r="CB181" s="19"/>
      <c r="CC181" s="19"/>
      <c r="CD181" s="19"/>
      <c r="CE181" s="19"/>
      <c r="CF181" s="98"/>
      <c r="CG181" s="98"/>
      <c r="CH181" s="98"/>
      <c r="CI181" s="98"/>
      <c r="CJ181" s="19"/>
      <c r="CK181" s="19"/>
      <c r="CL181" s="19"/>
      <c r="CM181" s="19"/>
      <c r="CN181" s="61"/>
      <c r="CO181" s="99"/>
      <c r="CP181" s="99"/>
      <c r="CQ181" s="99"/>
      <c r="CR181" s="99"/>
      <c r="CS181" s="117"/>
      <c r="CT181" s="19"/>
      <c r="CU181" s="47"/>
      <c r="CV181" s="47"/>
      <c r="CW181" s="47"/>
      <c r="CX181" s="47"/>
      <c r="CY181" s="47"/>
      <c r="CZ181" s="47"/>
      <c r="DA181" s="47"/>
      <c r="DB181" s="47"/>
      <c r="DC181" s="47"/>
      <c r="DD181" s="47"/>
      <c r="DE181" s="47"/>
      <c r="DF181" s="47"/>
      <c r="DG181" s="51" t="s">
        <v>176</v>
      </c>
      <c r="DH181" s="51"/>
      <c r="DI181" s="74"/>
      <c r="DJ181" s="20"/>
      <c r="DK181" s="20"/>
      <c r="DL181" s="20"/>
      <c r="DM181" s="20"/>
      <c r="DN181" s="20"/>
      <c r="DO181" s="20"/>
      <c r="DP181" s="20"/>
      <c r="DQ181" s="20"/>
      <c r="DR181" s="20"/>
      <c r="DS181" s="20"/>
      <c r="DT181" s="20"/>
      <c r="DU181" s="20"/>
      <c r="DV181" s="66"/>
      <c r="DW181" s="66"/>
      <c r="DX181" s="66"/>
      <c r="DY181" s="19"/>
      <c r="DZ181" s="19"/>
      <c r="EA181" s="66"/>
      <c r="EB181" s="66"/>
      <c r="EC181" s="66"/>
      <c r="ED181" s="19"/>
      <c r="EE181" s="19"/>
      <c r="EF181" s="66"/>
      <c r="EG181" s="66"/>
      <c r="EH181" s="66"/>
      <c r="EI181" s="19"/>
      <c r="EJ181" s="19"/>
      <c r="EK181" s="66"/>
      <c r="EL181" s="66"/>
      <c r="EM181" s="66"/>
      <c r="EN181" s="19"/>
      <c r="EO181" s="19"/>
      <c r="EP181" s="19"/>
      <c r="EQ181" s="51"/>
      <c r="ER181" s="19"/>
      <c r="ES181" s="200"/>
      <c r="ET181" s="200"/>
      <c r="EU181" s="200"/>
      <c r="EV181" s="200"/>
      <c r="EW181" s="200"/>
      <c r="EX181" s="180"/>
      <c r="EY181" s="200"/>
      <c r="EZ181" s="200"/>
      <c r="FA181" s="200"/>
      <c r="FB181" s="200"/>
      <c r="FC181" s="200"/>
      <c r="FD181" s="200"/>
      <c r="FE181" s="200"/>
      <c r="FF181" s="200"/>
      <c r="FG181" s="200"/>
      <c r="FH181" s="200"/>
      <c r="FI181" s="200"/>
      <c r="FJ181" s="200"/>
      <c r="FK181" s="200"/>
      <c r="FL181" s="200"/>
      <c r="FM181" s="200"/>
      <c r="FN181" s="200"/>
      <c r="FO181" s="200"/>
      <c r="FP181" s="200"/>
      <c r="FQ181" s="200"/>
      <c r="FR181" s="200"/>
      <c r="FS181" s="200"/>
      <c r="FT181" s="200"/>
      <c r="FU181" s="64"/>
      <c r="FV181" s="201"/>
      <c r="FW181" s="201"/>
      <c r="FX181" s="201"/>
      <c r="FY181" s="201"/>
      <c r="FZ181" s="201"/>
      <c r="GA181" s="19"/>
      <c r="GB181" s="43"/>
    </row>
    <row r="182" spans="1:184" ht="7.5" customHeight="1">
      <c r="A182" s="43"/>
      <c r="B182" s="47"/>
      <c r="C182" s="165" t="s">
        <v>382</v>
      </c>
      <c r="D182" s="165"/>
      <c r="E182" s="165"/>
      <c r="F182" s="165"/>
      <c r="G182" s="165"/>
      <c r="H182" s="165"/>
      <c r="I182" s="165"/>
      <c r="J182" s="165"/>
      <c r="K182" s="131"/>
      <c r="L182" s="131"/>
      <c r="M182" s="131"/>
      <c r="N182" s="132" t="s">
        <v>143</v>
      </c>
      <c r="O182" s="132"/>
      <c r="P182" s="132"/>
      <c r="Q182" s="19"/>
      <c r="R182" s="165" t="s">
        <v>145</v>
      </c>
      <c r="S182" s="165"/>
      <c r="T182" s="165"/>
      <c r="U182" s="165"/>
      <c r="V182" s="165"/>
      <c r="W182" s="165"/>
      <c r="X182" s="165"/>
      <c r="Y182" s="165"/>
      <c r="Z182" s="165"/>
      <c r="AA182" s="165"/>
      <c r="AB182" s="131"/>
      <c r="AC182" s="131"/>
      <c r="AD182" s="131"/>
      <c r="AE182" s="270" t="s">
        <v>144</v>
      </c>
      <c r="AF182" s="270"/>
      <c r="AG182" s="270"/>
      <c r="AH182" s="270"/>
      <c r="AI182" s="270"/>
      <c r="AJ182" s="19"/>
      <c r="AK182" s="47"/>
      <c r="AL182" s="47"/>
      <c r="AM182" s="19"/>
      <c r="AN182" s="165" t="s">
        <v>44</v>
      </c>
      <c r="AO182" s="165"/>
      <c r="AP182" s="165"/>
      <c r="AQ182" s="165"/>
      <c r="AR182" s="165"/>
      <c r="AS182" s="165"/>
      <c r="AT182" s="165"/>
      <c r="AU182" s="216"/>
      <c r="AV182" s="216"/>
      <c r="AW182" s="216"/>
      <c r="AX182" s="179" t="s">
        <v>47</v>
      </c>
      <c r="AY182" s="132"/>
      <c r="AZ182" s="132"/>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9"/>
      <c r="BW182" s="89"/>
      <c r="BX182" s="89"/>
      <c r="BY182" s="170" t="s">
        <v>95</v>
      </c>
      <c r="BZ182" s="170"/>
      <c r="CA182" s="170"/>
      <c r="CB182" s="170"/>
      <c r="CC182" s="301">
        <f>IF(AND(ISNUMBER(CC184),BT46="Y"),CC184+0.2,IF(ISNUMBER(CC184),CC184,""))</f>
        <v>5.9017499999999945</v>
      </c>
      <c r="CD182" s="301"/>
      <c r="CE182" s="301"/>
      <c r="CF182" s="207" t="s">
        <v>9</v>
      </c>
      <c r="CG182" s="207"/>
      <c r="CH182" s="165" t="s">
        <v>175</v>
      </c>
      <c r="CI182" s="165"/>
      <c r="CJ182" s="165"/>
      <c r="CK182" s="165"/>
      <c r="CL182" s="306">
        <f>IF(AND(ISNUMBER(CL184),BT46="Y"),CL184+0.175,IF(ISNUMBER(CL184),CL184,""))</f>
        <v>4.763681530405996</v>
      </c>
      <c r="CM182" s="306"/>
      <c r="CN182" s="306"/>
      <c r="CO182" s="207" t="s">
        <v>9</v>
      </c>
      <c r="CP182" s="207"/>
      <c r="CQ182" s="149" t="s">
        <v>351</v>
      </c>
      <c r="CR182" s="149"/>
      <c r="CS182" s="149"/>
      <c r="CT182" s="308">
        <f>IF(AND(ISNUMBER(CT184),BT46="Y"),CT184+7,IF(ISNUMBER(CT184),CT184,""))</f>
      </c>
      <c r="CU182" s="308"/>
      <c r="CV182" s="308"/>
      <c r="CW182" s="287" t="s">
        <v>350</v>
      </c>
      <c r="CX182" s="287"/>
      <c r="CY182" s="287"/>
      <c r="CZ182" s="287"/>
      <c r="DA182" s="287"/>
      <c r="DB182" s="287"/>
      <c r="DC182" s="287"/>
      <c r="DD182" s="287"/>
      <c r="DE182" s="287"/>
      <c r="DF182" s="287"/>
      <c r="DG182" s="88">
        <f>IF(DA121&gt;0,(-463.37+668.72*DA121-205.35*DA121*DA121),IF(ISNUMBER(CQ121),(-463.37+668.72*CQ121-205.35*CQ121*CQ121),IF(BC46&gt;0,(-463.37+668.72*BC46-205.35*BC46*BC46),IF(AA46&gt;0,(-463.37+668.72*AA46-205.35*AA46*AA46),""))))</f>
        <v>14.975112650000057</v>
      </c>
      <c r="DH182" s="133">
        <f>IF(AND(DV182&gt;0,ISNUMBER(EA182)),DV182*(100-EA182)/100*0.46214,EK151)</f>
      </c>
      <c r="DI182" s="130">
        <f>IF(AND(ISNUMBER(EQ151),ISNUMBER($DI$188)),EQ151/100*$DI$188,"")</f>
      </c>
      <c r="DJ182" s="202">
        <f>IF(AM73&gt;0,AM73,"")</f>
      </c>
      <c r="DK182" s="202"/>
      <c r="DL182" s="202"/>
      <c r="DM182" s="202"/>
      <c r="DN182" s="202"/>
      <c r="DO182" s="202"/>
      <c r="DP182" s="202"/>
      <c r="DQ182" s="202"/>
      <c r="DR182" s="202"/>
      <c r="DS182" s="202"/>
      <c r="DT182" s="202"/>
      <c r="DU182" s="202"/>
      <c r="DV182" s="204"/>
      <c r="DW182" s="204"/>
      <c r="DX182" s="204"/>
      <c r="DY182" s="179" t="s">
        <v>9</v>
      </c>
      <c r="DZ182" s="132"/>
      <c r="EA182" s="203"/>
      <c r="EB182" s="203"/>
      <c r="EC182" s="203"/>
      <c r="ED182" s="179" t="s">
        <v>9</v>
      </c>
      <c r="EE182" s="132"/>
      <c r="EF182" s="205">
        <f>IF(AND(DV182&gt;0,ISNUMBER(EA182)),DV182*(100-EA182)/100,"")</f>
      </c>
      <c r="EG182" s="205"/>
      <c r="EH182" s="205"/>
      <c r="EI182" s="179" t="s">
        <v>9</v>
      </c>
      <c r="EJ182" s="132"/>
      <c r="EK182" s="194">
        <f>IF(ISNUMBER(EF182),EF182*0.46214,"")</f>
      </c>
      <c r="EL182" s="194"/>
      <c r="EM182" s="194"/>
      <c r="EN182" s="164" t="s">
        <v>83</v>
      </c>
      <c r="EO182" s="164"/>
      <c r="EP182" s="164"/>
      <c r="EQ182" s="206">
        <f>IF(ISNUMBER(DH182),DH182,35.49)</f>
        <v>35.49</v>
      </c>
      <c r="ER182" s="19"/>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19"/>
      <c r="GB182" s="43"/>
    </row>
    <row r="183" spans="1:184" ht="7.5" customHeight="1">
      <c r="A183" s="43"/>
      <c r="B183" s="47"/>
      <c r="C183" s="165"/>
      <c r="D183" s="165"/>
      <c r="E183" s="165"/>
      <c r="F183" s="165"/>
      <c r="G183" s="165"/>
      <c r="H183" s="165"/>
      <c r="I183" s="165"/>
      <c r="J183" s="165"/>
      <c r="K183" s="131"/>
      <c r="L183" s="131"/>
      <c r="M183" s="131"/>
      <c r="N183" s="132"/>
      <c r="O183" s="132"/>
      <c r="P183" s="132"/>
      <c r="Q183" s="19"/>
      <c r="R183" s="165"/>
      <c r="S183" s="165"/>
      <c r="T183" s="165"/>
      <c r="U183" s="165"/>
      <c r="V183" s="165"/>
      <c r="W183" s="165"/>
      <c r="X183" s="165"/>
      <c r="Y183" s="165"/>
      <c r="Z183" s="165"/>
      <c r="AA183" s="165"/>
      <c r="AB183" s="131"/>
      <c r="AC183" s="131"/>
      <c r="AD183" s="131"/>
      <c r="AE183" s="270"/>
      <c r="AF183" s="270"/>
      <c r="AG183" s="270"/>
      <c r="AH183" s="270"/>
      <c r="AI183" s="270"/>
      <c r="AJ183" s="19"/>
      <c r="AK183" s="47"/>
      <c r="AL183" s="47"/>
      <c r="AM183" s="19"/>
      <c r="AN183" s="165"/>
      <c r="AO183" s="165"/>
      <c r="AP183" s="165"/>
      <c r="AQ183" s="165"/>
      <c r="AR183" s="165"/>
      <c r="AS183" s="165"/>
      <c r="AT183" s="165"/>
      <c r="AU183" s="216"/>
      <c r="AV183" s="216"/>
      <c r="AW183" s="216"/>
      <c r="AX183" s="132"/>
      <c r="AY183" s="132"/>
      <c r="AZ183" s="132"/>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9"/>
      <c r="BW183" s="89"/>
      <c r="BX183" s="89"/>
      <c r="BY183" s="170"/>
      <c r="BZ183" s="170"/>
      <c r="CA183" s="170"/>
      <c r="CB183" s="170"/>
      <c r="CC183" s="301"/>
      <c r="CD183" s="301"/>
      <c r="CE183" s="301"/>
      <c r="CF183" s="207"/>
      <c r="CG183" s="207"/>
      <c r="CH183" s="165"/>
      <c r="CI183" s="165"/>
      <c r="CJ183" s="165"/>
      <c r="CK183" s="165"/>
      <c r="CL183" s="306"/>
      <c r="CM183" s="306"/>
      <c r="CN183" s="306"/>
      <c r="CO183" s="207"/>
      <c r="CP183" s="207"/>
      <c r="CQ183" s="149"/>
      <c r="CR183" s="149"/>
      <c r="CS183" s="149"/>
      <c r="CT183" s="308"/>
      <c r="CU183" s="308"/>
      <c r="CV183" s="308"/>
      <c r="CW183" s="287"/>
      <c r="CX183" s="287"/>
      <c r="CY183" s="287"/>
      <c r="CZ183" s="287"/>
      <c r="DA183" s="287"/>
      <c r="DB183" s="287"/>
      <c r="DC183" s="287"/>
      <c r="DD183" s="287"/>
      <c r="DE183" s="287"/>
      <c r="DF183" s="287"/>
      <c r="DG183" s="51" t="s">
        <v>177</v>
      </c>
      <c r="DH183" s="133"/>
      <c r="DI183" s="130"/>
      <c r="DJ183" s="202"/>
      <c r="DK183" s="202"/>
      <c r="DL183" s="202"/>
      <c r="DM183" s="202"/>
      <c r="DN183" s="202"/>
      <c r="DO183" s="202"/>
      <c r="DP183" s="202"/>
      <c r="DQ183" s="202"/>
      <c r="DR183" s="202"/>
      <c r="DS183" s="202"/>
      <c r="DT183" s="202"/>
      <c r="DU183" s="202"/>
      <c r="DV183" s="204"/>
      <c r="DW183" s="204"/>
      <c r="DX183" s="204"/>
      <c r="DY183" s="132"/>
      <c r="DZ183" s="132"/>
      <c r="EA183" s="203"/>
      <c r="EB183" s="203"/>
      <c r="EC183" s="203"/>
      <c r="ED183" s="132"/>
      <c r="EE183" s="132"/>
      <c r="EF183" s="205"/>
      <c r="EG183" s="205"/>
      <c r="EH183" s="205"/>
      <c r="EI183" s="132"/>
      <c r="EJ183" s="132"/>
      <c r="EK183" s="194"/>
      <c r="EL183" s="194"/>
      <c r="EM183" s="194"/>
      <c r="EN183" s="164"/>
      <c r="EO183" s="164"/>
      <c r="EP183" s="164"/>
      <c r="EQ183" s="133"/>
      <c r="ER183" s="19"/>
      <c r="ES183" s="200"/>
      <c r="ET183" s="200"/>
      <c r="EU183" s="200"/>
      <c r="EV183" s="200"/>
      <c r="EW183" s="200"/>
      <c r="EX183" s="180"/>
      <c r="EY183" s="200"/>
      <c r="EZ183" s="200"/>
      <c r="FA183" s="200"/>
      <c r="FB183" s="200"/>
      <c r="FC183" s="200"/>
      <c r="FD183" s="200"/>
      <c r="FE183" s="200"/>
      <c r="FF183" s="200"/>
      <c r="FG183" s="200"/>
      <c r="FH183" s="200"/>
      <c r="FI183" s="200"/>
      <c r="FJ183" s="200"/>
      <c r="FK183" s="200"/>
      <c r="FL183" s="200"/>
      <c r="FM183" s="200"/>
      <c r="FN183" s="200"/>
      <c r="FO183" s="200"/>
      <c r="FP183" s="200"/>
      <c r="FQ183" s="200"/>
      <c r="FR183" s="200"/>
      <c r="FS183" s="200"/>
      <c r="FT183" s="200"/>
      <c r="FU183" s="64"/>
      <c r="FV183" s="201"/>
      <c r="FW183" s="201"/>
      <c r="FX183" s="201"/>
      <c r="FY183" s="201"/>
      <c r="FZ183" s="201"/>
      <c r="GA183" s="19"/>
      <c r="GB183" s="43"/>
    </row>
    <row r="184" spans="1:184" ht="7.5" customHeight="1">
      <c r="A184" s="43"/>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19"/>
      <c r="AN184" s="19"/>
      <c r="AO184" s="19"/>
      <c r="AP184" s="19"/>
      <c r="AQ184" s="19"/>
      <c r="AR184" s="19"/>
      <c r="AS184" s="19"/>
      <c r="AT184" s="19"/>
      <c r="AU184" s="100">
        <f>SUM(AU170:AW183)</f>
        <v>0</v>
      </c>
      <c r="AV184" s="19"/>
      <c r="AW184" s="19"/>
      <c r="AX184" s="79"/>
      <c r="AY184" s="79"/>
      <c r="AZ184" s="7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89"/>
      <c r="BX184" s="89"/>
      <c r="BY184" s="19"/>
      <c r="BZ184" s="19"/>
      <c r="CA184" s="19"/>
      <c r="CB184" s="19"/>
      <c r="CC184" s="300">
        <f>IF(AND(DA121&gt;0,DB173&gt;0),(DA121-DB173)*1000*0.129,IF(AND(ISNUMBER(CQ121),DB173&gt;0),(CQ121-DB173)*1000*0.129,IF(DA121&gt;0,(DA121-CK173)*1000*0.129,IF(ISNUMBER(CQ121),(CQ121-CK173)*1000*0.129,""))))</f>
        <v>5.9017499999999945</v>
      </c>
      <c r="CD184" s="300"/>
      <c r="CE184" s="300"/>
      <c r="CF184" s="101"/>
      <c r="CG184" s="101"/>
      <c r="CH184" s="101"/>
      <c r="CI184" s="101"/>
      <c r="CJ184" s="19"/>
      <c r="CK184" s="19"/>
      <c r="CL184" s="305">
        <f>IF(AND(ISNUMBER(DG184),ISNUMBER(DG182),ISNUMBER(DG180)),(DG182-DG180)/(2.0665-(0.010665*DG182)),"")</f>
        <v>4.763681530405996</v>
      </c>
      <c r="CM184" s="305"/>
      <c r="CN184" s="305"/>
      <c r="CO184" s="99"/>
      <c r="CP184" s="99"/>
      <c r="CQ184" s="99"/>
      <c r="CR184" s="99"/>
      <c r="CS184" s="19"/>
      <c r="CT184" s="307">
        <f>IF(AND(CF179&gt;0,ISNUMBER(CL184),ISNUMBER(DG180),ISNUMBER(DG186)),((6.9*CL184)+4*(DG180-0.1))*DG186*CF179/100,"")</f>
      </c>
      <c r="CU184" s="307"/>
      <c r="CV184" s="307"/>
      <c r="CW184" s="47"/>
      <c r="CX184" s="47"/>
      <c r="CY184" s="47"/>
      <c r="CZ184" s="47"/>
      <c r="DA184" s="47"/>
      <c r="DB184" s="47"/>
      <c r="DC184" s="47"/>
      <c r="DD184" s="47"/>
      <c r="DE184" s="47"/>
      <c r="DF184" s="47"/>
      <c r="DG184" s="88">
        <f>IF(DB173&gt;0,(-463.37+668.72*DB173-205.35*DB173*DB173),IF(ISNUMBER(CK173),(-463.37+668.72*CK173-205.35*CK173*CK173),""))</f>
        <v>3.8870482906250743</v>
      </c>
      <c r="DH184" s="51"/>
      <c r="DI184" s="74"/>
      <c r="DJ184" s="20"/>
      <c r="DK184" s="20"/>
      <c r="DL184" s="20"/>
      <c r="DM184" s="20"/>
      <c r="DN184" s="20"/>
      <c r="DO184" s="20"/>
      <c r="DP184" s="20"/>
      <c r="DQ184" s="20"/>
      <c r="DR184" s="20"/>
      <c r="DS184" s="20"/>
      <c r="DT184" s="20"/>
      <c r="DU184" s="20"/>
      <c r="DV184" s="66"/>
      <c r="DW184" s="66"/>
      <c r="DX184" s="66"/>
      <c r="DY184" s="19"/>
      <c r="DZ184" s="19"/>
      <c r="EA184" s="66"/>
      <c r="EB184" s="66"/>
      <c r="EC184" s="66"/>
      <c r="ED184" s="19"/>
      <c r="EE184" s="19"/>
      <c r="EF184" s="66"/>
      <c r="EG184" s="66"/>
      <c r="EH184" s="66"/>
      <c r="EI184" s="19"/>
      <c r="EJ184" s="19"/>
      <c r="EK184" s="66"/>
      <c r="EL184" s="66"/>
      <c r="EM184" s="66"/>
      <c r="EN184" s="19"/>
      <c r="EO184" s="19"/>
      <c r="EP184" s="19"/>
      <c r="EQ184" s="51"/>
      <c r="ER184" s="19"/>
      <c r="ES184" s="200"/>
      <c r="ET184" s="200"/>
      <c r="EU184" s="200"/>
      <c r="EV184" s="200"/>
      <c r="EW184" s="200"/>
      <c r="EX184" s="180"/>
      <c r="EY184" s="200"/>
      <c r="EZ184" s="200"/>
      <c r="FA184" s="200"/>
      <c r="FB184" s="200"/>
      <c r="FC184" s="200"/>
      <c r="FD184" s="200"/>
      <c r="FE184" s="200"/>
      <c r="FF184" s="200"/>
      <c r="FG184" s="200"/>
      <c r="FH184" s="200"/>
      <c r="FI184" s="200"/>
      <c r="FJ184" s="200"/>
      <c r="FK184" s="200"/>
      <c r="FL184" s="200"/>
      <c r="FM184" s="200"/>
      <c r="FN184" s="200"/>
      <c r="FO184" s="200"/>
      <c r="FP184" s="200"/>
      <c r="FQ184" s="200"/>
      <c r="FR184" s="200"/>
      <c r="FS184" s="200"/>
      <c r="FT184" s="200"/>
      <c r="FU184" s="64"/>
      <c r="FV184" s="201"/>
      <c r="FW184" s="201"/>
      <c r="FX184" s="201"/>
      <c r="FY184" s="201"/>
      <c r="FZ184" s="201"/>
      <c r="GA184" s="19"/>
      <c r="GB184" s="43"/>
    </row>
    <row r="185" spans="1:184" ht="7.5" customHeight="1">
      <c r="A185" s="43"/>
      <c r="B185" s="36"/>
      <c r="C185" s="165" t="s">
        <v>97</v>
      </c>
      <c r="D185" s="165"/>
      <c r="E185" s="165"/>
      <c r="F185" s="165"/>
      <c r="G185" s="165"/>
      <c r="H185" s="165"/>
      <c r="I185" s="165"/>
      <c r="J185" s="165"/>
      <c r="K185" s="138"/>
      <c r="L185" s="138"/>
      <c r="M185" s="138"/>
      <c r="N185" s="132" t="s">
        <v>32</v>
      </c>
      <c r="O185" s="132"/>
      <c r="P185" s="132">
        <f>IF(ISNUMBER(K185),K185*9/5+32,"")</f>
      </c>
      <c r="Q185" s="132"/>
      <c r="R185" s="132"/>
      <c r="S185" s="132"/>
      <c r="T185" s="164" t="s">
        <v>33</v>
      </c>
      <c r="U185" s="164"/>
      <c r="V185" s="304" t="s">
        <v>384</v>
      </c>
      <c r="W185" s="304"/>
      <c r="X185" s="304"/>
      <c r="Y185" s="304"/>
      <c r="Z185" s="304"/>
      <c r="AA185" s="304"/>
      <c r="AB185" s="304"/>
      <c r="AC185" s="304"/>
      <c r="AD185" s="304"/>
      <c r="AE185" s="304"/>
      <c r="AF185" s="304"/>
      <c r="AG185" s="304"/>
      <c r="AH185" s="304"/>
      <c r="AI185" s="304"/>
      <c r="AJ185" s="304"/>
      <c r="AK185" s="304"/>
      <c r="AL185" s="47"/>
      <c r="AM185" s="19"/>
      <c r="AN185" s="170" t="s">
        <v>48</v>
      </c>
      <c r="AO185" s="170"/>
      <c r="AP185" s="170"/>
      <c r="AQ185" s="170"/>
      <c r="AR185" s="170"/>
      <c r="AS185" s="170"/>
      <c r="AT185" s="170"/>
      <c r="AU185" s="151">
        <f>IF(AU184&gt;0,AU184,"")</f>
      </c>
      <c r="AV185" s="151"/>
      <c r="AW185" s="151"/>
      <c r="AX185" s="152" t="s">
        <v>49</v>
      </c>
      <c r="AY185" s="143"/>
      <c r="AZ185" s="143"/>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9"/>
      <c r="BW185" s="89"/>
      <c r="BX185" s="89"/>
      <c r="BY185" s="210" t="s">
        <v>189</v>
      </c>
      <c r="BZ185" s="210"/>
      <c r="CA185" s="210"/>
      <c r="CB185" s="210"/>
      <c r="CC185" s="210"/>
      <c r="CD185" s="210"/>
      <c r="CE185" s="210"/>
      <c r="CF185" s="210"/>
      <c r="CG185" s="210"/>
      <c r="CH185" s="210"/>
      <c r="CI185" s="210"/>
      <c r="CJ185" s="210"/>
      <c r="CK185" s="210"/>
      <c r="CL185" s="210"/>
      <c r="CM185" s="210"/>
      <c r="CN185" s="210"/>
      <c r="CO185" s="210"/>
      <c r="CP185" s="210"/>
      <c r="CQ185" s="210"/>
      <c r="CR185" s="210"/>
      <c r="CS185" s="210"/>
      <c r="CT185" s="210"/>
      <c r="CU185" s="210"/>
      <c r="CV185" s="210"/>
      <c r="CW185" s="210"/>
      <c r="CX185" s="210"/>
      <c r="CY185" s="210"/>
      <c r="CZ185" s="210"/>
      <c r="DA185" s="210"/>
      <c r="DB185" s="210"/>
      <c r="DC185" s="210"/>
      <c r="DD185" s="210"/>
      <c r="DE185" s="210"/>
      <c r="DF185" s="210"/>
      <c r="DG185" s="51" t="s">
        <v>159</v>
      </c>
      <c r="DH185" s="133">
        <f>IF(AND(DV185&gt;0,ISNUMBER(EA185)),DV185*(100-EA185)/100*0.46214,EK154)</f>
      </c>
      <c r="DI185" s="130">
        <f>IF(AND(ISNUMBER(EQ154),ISNUMBER($DI$188)),EQ154/100*$DI$188,"")</f>
      </c>
      <c r="DJ185" s="202">
        <f>IF(AM76&gt;0,AM76,"")</f>
      </c>
      <c r="DK185" s="202"/>
      <c r="DL185" s="202"/>
      <c r="DM185" s="202"/>
      <c r="DN185" s="202"/>
      <c r="DO185" s="202"/>
      <c r="DP185" s="202"/>
      <c r="DQ185" s="202"/>
      <c r="DR185" s="202"/>
      <c r="DS185" s="202"/>
      <c r="DT185" s="202"/>
      <c r="DU185" s="202"/>
      <c r="DV185" s="204"/>
      <c r="DW185" s="204"/>
      <c r="DX185" s="204"/>
      <c r="DY185" s="179" t="s">
        <v>9</v>
      </c>
      <c r="DZ185" s="132"/>
      <c r="EA185" s="203"/>
      <c r="EB185" s="203"/>
      <c r="EC185" s="203"/>
      <c r="ED185" s="179" t="s">
        <v>9</v>
      </c>
      <c r="EE185" s="132"/>
      <c r="EF185" s="205">
        <f>IF(AND(DV185&gt;0,ISNUMBER(EA185)),DV185*(100-EA185)/100,"")</f>
      </c>
      <c r="EG185" s="205"/>
      <c r="EH185" s="205"/>
      <c r="EI185" s="179" t="s">
        <v>9</v>
      </c>
      <c r="EJ185" s="132"/>
      <c r="EK185" s="194">
        <f>IF(ISNUMBER(EF185),EF185*0.46214,"")</f>
      </c>
      <c r="EL185" s="194"/>
      <c r="EM185" s="194"/>
      <c r="EN185" s="164" t="s">
        <v>83</v>
      </c>
      <c r="EO185" s="164"/>
      <c r="EP185" s="164"/>
      <c r="EQ185" s="206">
        <f>IF(ISNUMBER(DH185),DH185,35.49)</f>
        <v>35.49</v>
      </c>
      <c r="ER185" s="19"/>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19"/>
      <c r="GB185" s="77"/>
    </row>
    <row r="186" spans="1:184" ht="7.5" customHeight="1">
      <c r="A186" s="43"/>
      <c r="B186" s="36"/>
      <c r="C186" s="165"/>
      <c r="D186" s="165"/>
      <c r="E186" s="165"/>
      <c r="F186" s="165"/>
      <c r="G186" s="165"/>
      <c r="H186" s="165"/>
      <c r="I186" s="165"/>
      <c r="J186" s="165"/>
      <c r="K186" s="138"/>
      <c r="L186" s="138"/>
      <c r="M186" s="138"/>
      <c r="N186" s="132"/>
      <c r="O186" s="132"/>
      <c r="P186" s="132"/>
      <c r="Q186" s="132"/>
      <c r="R186" s="132"/>
      <c r="S186" s="132"/>
      <c r="T186" s="164"/>
      <c r="U186" s="164"/>
      <c r="V186" s="304"/>
      <c r="W186" s="304"/>
      <c r="X186" s="304"/>
      <c r="Y186" s="304"/>
      <c r="Z186" s="304"/>
      <c r="AA186" s="304"/>
      <c r="AB186" s="304"/>
      <c r="AC186" s="304"/>
      <c r="AD186" s="304"/>
      <c r="AE186" s="304"/>
      <c r="AF186" s="304"/>
      <c r="AG186" s="304"/>
      <c r="AH186" s="304"/>
      <c r="AI186" s="304"/>
      <c r="AJ186" s="304"/>
      <c r="AK186" s="304"/>
      <c r="AL186" s="47"/>
      <c r="AM186" s="19"/>
      <c r="AN186" s="170"/>
      <c r="AO186" s="170"/>
      <c r="AP186" s="170"/>
      <c r="AQ186" s="170"/>
      <c r="AR186" s="170"/>
      <c r="AS186" s="170"/>
      <c r="AT186" s="170"/>
      <c r="AU186" s="151"/>
      <c r="AV186" s="151"/>
      <c r="AW186" s="151"/>
      <c r="AX186" s="143"/>
      <c r="AY186" s="143"/>
      <c r="AZ186" s="143"/>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9"/>
      <c r="BW186" s="89"/>
      <c r="BX186" s="89"/>
      <c r="BY186" s="210"/>
      <c r="BZ186" s="210"/>
      <c r="CA186" s="210"/>
      <c r="CB186" s="210"/>
      <c r="CC186" s="210"/>
      <c r="CD186" s="210"/>
      <c r="CE186" s="210"/>
      <c r="CF186" s="210"/>
      <c r="CG186" s="210"/>
      <c r="CH186" s="210"/>
      <c r="CI186" s="210"/>
      <c r="CJ186" s="210"/>
      <c r="CK186" s="210"/>
      <c r="CL186" s="210"/>
      <c r="CM186" s="210"/>
      <c r="CN186" s="210"/>
      <c r="CO186" s="210"/>
      <c r="CP186" s="210"/>
      <c r="CQ186" s="210"/>
      <c r="CR186" s="210"/>
      <c r="CS186" s="210"/>
      <c r="CT186" s="210"/>
      <c r="CU186" s="210"/>
      <c r="CV186" s="210"/>
      <c r="CW186" s="210"/>
      <c r="CX186" s="210"/>
      <c r="CY186" s="210"/>
      <c r="CZ186" s="210"/>
      <c r="DA186" s="210"/>
      <c r="DB186" s="210"/>
      <c r="DC186" s="210"/>
      <c r="DD186" s="210"/>
      <c r="DE186" s="210"/>
      <c r="DF186" s="210"/>
      <c r="DG186" s="88">
        <f>IF(DB173&gt;0,DB173,IF(ISNUMBER(CK173),CK173,""))</f>
        <v>1.01525</v>
      </c>
      <c r="DH186" s="133"/>
      <c r="DI186" s="130"/>
      <c r="DJ186" s="202"/>
      <c r="DK186" s="202"/>
      <c r="DL186" s="202"/>
      <c r="DM186" s="202"/>
      <c r="DN186" s="202"/>
      <c r="DO186" s="202"/>
      <c r="DP186" s="202"/>
      <c r="DQ186" s="202"/>
      <c r="DR186" s="202"/>
      <c r="DS186" s="202"/>
      <c r="DT186" s="202"/>
      <c r="DU186" s="202"/>
      <c r="DV186" s="204"/>
      <c r="DW186" s="204"/>
      <c r="DX186" s="204"/>
      <c r="DY186" s="132"/>
      <c r="DZ186" s="132"/>
      <c r="EA186" s="203"/>
      <c r="EB186" s="203"/>
      <c r="EC186" s="203"/>
      <c r="ED186" s="132"/>
      <c r="EE186" s="132"/>
      <c r="EF186" s="205"/>
      <c r="EG186" s="205"/>
      <c r="EH186" s="205"/>
      <c r="EI186" s="132"/>
      <c r="EJ186" s="132"/>
      <c r="EK186" s="194"/>
      <c r="EL186" s="194"/>
      <c r="EM186" s="194"/>
      <c r="EN186" s="164"/>
      <c r="EO186" s="164"/>
      <c r="EP186" s="164"/>
      <c r="EQ186" s="133"/>
      <c r="ER186" s="19"/>
      <c r="ES186" s="200"/>
      <c r="ET186" s="200"/>
      <c r="EU186" s="200"/>
      <c r="EV186" s="200"/>
      <c r="EW186" s="200"/>
      <c r="EX186" s="180"/>
      <c r="EY186" s="200"/>
      <c r="EZ186" s="200"/>
      <c r="FA186" s="200"/>
      <c r="FB186" s="200"/>
      <c r="FC186" s="200"/>
      <c r="FD186" s="200"/>
      <c r="FE186" s="200"/>
      <c r="FF186" s="200"/>
      <c r="FG186" s="200"/>
      <c r="FH186" s="200"/>
      <c r="FI186" s="200"/>
      <c r="FJ186" s="200"/>
      <c r="FK186" s="200"/>
      <c r="FL186" s="200"/>
      <c r="FM186" s="200"/>
      <c r="FN186" s="200"/>
      <c r="FO186" s="200"/>
      <c r="FP186" s="200"/>
      <c r="FQ186" s="200"/>
      <c r="FR186" s="200"/>
      <c r="FS186" s="200"/>
      <c r="FT186" s="200"/>
      <c r="FU186" s="64"/>
      <c r="FV186" s="201"/>
      <c r="FW186" s="201"/>
      <c r="FX186" s="201"/>
      <c r="FY186" s="201"/>
      <c r="FZ186" s="201"/>
      <c r="GA186" s="19"/>
      <c r="GB186" s="77"/>
    </row>
    <row r="187" spans="1:184" ht="7.5" customHeight="1">
      <c r="A187" s="43"/>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47"/>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19"/>
      <c r="BV187" s="19"/>
      <c r="BW187" s="89"/>
      <c r="BX187" s="89"/>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54"/>
      <c r="DE187" s="154"/>
      <c r="DF187" s="154"/>
      <c r="DG187" s="51"/>
      <c r="DH187" s="51"/>
      <c r="DI187" s="74"/>
      <c r="DJ187" s="74"/>
      <c r="DK187" s="74"/>
      <c r="DL187" s="74"/>
      <c r="DM187" s="74"/>
      <c r="DN187" s="74"/>
      <c r="DO187" s="74"/>
      <c r="DP187" s="74"/>
      <c r="DQ187" s="74"/>
      <c r="DR187" s="74"/>
      <c r="DS187" s="74"/>
      <c r="DT187" s="74"/>
      <c r="DU187" s="74"/>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51"/>
      <c r="ER187" s="19"/>
      <c r="ES187" s="200"/>
      <c r="ET187" s="200"/>
      <c r="EU187" s="200"/>
      <c r="EV187" s="200"/>
      <c r="EW187" s="200"/>
      <c r="EX187" s="180"/>
      <c r="EY187" s="200"/>
      <c r="EZ187" s="200"/>
      <c r="FA187" s="200"/>
      <c r="FB187" s="200"/>
      <c r="FC187" s="200"/>
      <c r="FD187" s="200"/>
      <c r="FE187" s="200"/>
      <c r="FF187" s="200"/>
      <c r="FG187" s="200"/>
      <c r="FH187" s="200"/>
      <c r="FI187" s="200"/>
      <c r="FJ187" s="200"/>
      <c r="FK187" s="200"/>
      <c r="FL187" s="200"/>
      <c r="FM187" s="200"/>
      <c r="FN187" s="200"/>
      <c r="FO187" s="200"/>
      <c r="FP187" s="200"/>
      <c r="FQ187" s="200"/>
      <c r="FR187" s="200"/>
      <c r="FS187" s="200"/>
      <c r="FT187" s="200"/>
      <c r="FU187" s="64"/>
      <c r="FV187" s="201"/>
      <c r="FW187" s="201"/>
      <c r="FX187" s="201"/>
      <c r="FY187" s="201"/>
      <c r="FZ187" s="201"/>
      <c r="GA187" s="19"/>
      <c r="GB187" s="45"/>
    </row>
    <row r="188" spans="1:184" ht="7.5" customHeight="1">
      <c r="A188" s="10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47"/>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95"/>
      <c r="BX188" s="95"/>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54"/>
      <c r="DE188" s="154"/>
      <c r="DF188" s="154"/>
      <c r="DG188" s="77"/>
      <c r="DH188" s="77"/>
      <c r="DI188" s="74">
        <f>IF(AND(ISNUMBER(CQ94),ISNUMBER(CZ36)),(CQ94-1)*1000*CZ36*0.9614/(CQ133/100),"")</f>
        <v>242.15615247514086</v>
      </c>
      <c r="DJ188" s="74"/>
      <c r="DK188" s="74"/>
      <c r="DL188" s="74"/>
      <c r="DM188" s="74"/>
      <c r="DN188" s="74"/>
      <c r="DO188" s="74"/>
      <c r="DP188" s="74"/>
      <c r="DQ188" s="74"/>
      <c r="DR188" s="74"/>
      <c r="DS188" s="74"/>
      <c r="DT188" s="74"/>
      <c r="DU188" s="74"/>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51"/>
      <c r="ER188" s="74"/>
      <c r="ES188" s="74"/>
      <c r="ET188" s="74"/>
      <c r="EU188" s="74"/>
      <c r="EV188" s="74"/>
      <c r="EW188" s="74"/>
      <c r="EX188" s="74"/>
      <c r="EY188" s="74"/>
      <c r="EZ188" s="74"/>
      <c r="FA188" s="74"/>
      <c r="FB188" s="74"/>
      <c r="FC188" s="74"/>
      <c r="FD188" s="74"/>
      <c r="FE188" s="74"/>
      <c r="FF188" s="74"/>
      <c r="FG188" s="74"/>
      <c r="FH188" s="74"/>
      <c r="FI188" s="74"/>
      <c r="FJ188" s="74"/>
      <c r="FK188" s="74"/>
      <c r="FL188" s="74"/>
      <c r="FM188" s="74"/>
      <c r="FN188" s="74"/>
      <c r="FO188" s="74"/>
      <c r="FP188" s="74"/>
      <c r="FQ188" s="74"/>
      <c r="FR188" s="74"/>
      <c r="FS188" s="74"/>
      <c r="FT188" s="74"/>
      <c r="FU188" s="74"/>
      <c r="FV188" s="74"/>
      <c r="FW188" s="74"/>
      <c r="FX188" s="74"/>
      <c r="FY188" s="74"/>
      <c r="FZ188" s="74"/>
      <c r="GA188" s="74"/>
      <c r="GB188" s="102"/>
    </row>
    <row r="189" spans="1:184" ht="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95"/>
      <c r="BX189" s="9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45"/>
      <c r="ES189" s="45"/>
      <c r="ET189" s="45"/>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c r="FT189" s="45"/>
      <c r="FU189" s="45"/>
      <c r="FV189" s="45"/>
      <c r="FW189" s="45"/>
      <c r="FX189" s="45"/>
      <c r="FY189" s="45"/>
      <c r="FZ189" s="45"/>
      <c r="GA189" s="45"/>
      <c r="GB189" s="45"/>
    </row>
    <row r="190" spans="1:181" ht="7.5" customHeight="1">
      <c r="A190" s="43"/>
      <c r="B190" s="103"/>
      <c r="C190" s="103"/>
      <c r="D190" s="148" t="s">
        <v>212</v>
      </c>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24"/>
      <c r="BV190" s="124"/>
      <c r="BW190" s="43"/>
      <c r="BX190" s="43"/>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c r="CX190" s="125"/>
      <c r="CY190" s="125"/>
      <c r="CZ190" s="125"/>
      <c r="DA190" s="125"/>
      <c r="DB190" s="125"/>
      <c r="DC190" s="125"/>
      <c r="DD190" s="125"/>
      <c r="DE190" s="125"/>
      <c r="DF190" s="125"/>
      <c r="DG190" s="125"/>
      <c r="DH190" s="125"/>
      <c r="DI190" s="125"/>
      <c r="DJ190" s="125"/>
      <c r="DK190" s="125"/>
      <c r="DL190" s="125"/>
      <c r="DM190" s="125"/>
      <c r="DN190" s="125"/>
      <c r="DO190" s="125"/>
      <c r="DP190" s="125"/>
      <c r="DQ190" s="125"/>
      <c r="DR190" s="125"/>
      <c r="DS190" s="125"/>
      <c r="DT190" s="125"/>
      <c r="DU190" s="125"/>
      <c r="DV190" s="125"/>
      <c r="DW190" s="125"/>
      <c r="DX190" s="125"/>
      <c r="DY190" s="125"/>
      <c r="DZ190" s="125"/>
      <c r="EA190" s="125"/>
      <c r="EB190" s="125"/>
      <c r="EC190" s="125"/>
      <c r="ED190" s="125"/>
      <c r="EE190" s="125"/>
      <c r="EF190" s="125"/>
      <c r="EG190" s="125"/>
      <c r="EH190" s="125"/>
      <c r="EI190" s="125"/>
      <c r="EJ190" s="125"/>
      <c r="EK190" s="125"/>
      <c r="EL190" s="125"/>
      <c r="EM190" s="125"/>
      <c r="EN190" s="125"/>
      <c r="EO190" s="125"/>
      <c r="EP190" s="125"/>
      <c r="EQ190" s="125"/>
      <c r="ER190" s="125"/>
      <c r="ES190" s="125"/>
      <c r="ET190" s="125"/>
      <c r="EU190" s="125"/>
      <c r="EV190" s="125"/>
      <c r="EW190" s="125"/>
      <c r="EX190" s="125"/>
      <c r="EY190" s="125"/>
      <c r="EZ190" s="125"/>
      <c r="FA190" s="125"/>
      <c r="FB190" s="125"/>
      <c r="FC190" s="125"/>
      <c r="FD190" s="125"/>
      <c r="FE190" s="125"/>
      <c r="FF190" s="125"/>
      <c r="FG190" s="125"/>
      <c r="FH190" s="125"/>
      <c r="FI190" s="125"/>
      <c r="FJ190" s="125"/>
      <c r="FK190" s="125"/>
      <c r="FL190" s="125"/>
      <c r="FM190" s="125"/>
      <c r="FN190" s="125"/>
      <c r="FO190" s="125"/>
      <c r="FP190" s="125"/>
      <c r="FQ190" s="125"/>
      <c r="FR190" s="125"/>
      <c r="FS190" s="125"/>
      <c r="FT190" s="125"/>
      <c r="FU190" s="125"/>
      <c r="FV190" s="125"/>
      <c r="FW190" s="125"/>
      <c r="FX190" s="125"/>
      <c r="FY190" s="125"/>
    </row>
    <row r="191" spans="1:181" ht="7.5" customHeight="1">
      <c r="A191" s="43"/>
      <c r="B191" s="103"/>
      <c r="C191" s="103"/>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24"/>
      <c r="BV191" s="124"/>
      <c r="BW191" s="43"/>
      <c r="BX191" s="43"/>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CV191" s="125"/>
      <c r="CW191" s="125"/>
      <c r="CX191" s="125"/>
      <c r="CY191" s="125"/>
      <c r="CZ191" s="125"/>
      <c r="DA191" s="125"/>
      <c r="DB191" s="125"/>
      <c r="DC191" s="125"/>
      <c r="DD191" s="125"/>
      <c r="DE191" s="125"/>
      <c r="DF191" s="125"/>
      <c r="DG191" s="125"/>
      <c r="DH191" s="125"/>
      <c r="DI191" s="125"/>
      <c r="DJ191" s="125"/>
      <c r="DK191" s="125"/>
      <c r="DL191" s="125"/>
      <c r="DM191" s="125"/>
      <c r="DN191" s="125"/>
      <c r="DO191" s="125"/>
      <c r="DP191" s="125"/>
      <c r="DQ191" s="125"/>
      <c r="DR191" s="125"/>
      <c r="DS191" s="125"/>
      <c r="DT191" s="125"/>
      <c r="DU191" s="125"/>
      <c r="DV191" s="125"/>
      <c r="DW191" s="125"/>
      <c r="DX191" s="125"/>
      <c r="DY191" s="125"/>
      <c r="DZ191" s="125"/>
      <c r="EA191" s="125"/>
      <c r="EB191" s="125"/>
      <c r="EC191" s="125"/>
      <c r="ED191" s="125"/>
      <c r="EE191" s="125"/>
      <c r="EF191" s="125"/>
      <c r="EG191" s="125"/>
      <c r="EH191" s="125"/>
      <c r="EI191" s="125"/>
      <c r="EJ191" s="125"/>
      <c r="EK191" s="125"/>
      <c r="EL191" s="125"/>
      <c r="EM191" s="125"/>
      <c r="EN191" s="125"/>
      <c r="EO191" s="125"/>
      <c r="EP191" s="125"/>
      <c r="EQ191" s="125"/>
      <c r="ER191" s="125"/>
      <c r="ES191" s="125"/>
      <c r="ET191" s="125"/>
      <c r="EU191" s="125"/>
      <c r="EV191" s="125"/>
      <c r="EW191" s="125"/>
      <c r="EX191" s="125"/>
      <c r="EY191" s="125"/>
      <c r="EZ191" s="125"/>
      <c r="FA191" s="125"/>
      <c r="FB191" s="125"/>
      <c r="FC191" s="125"/>
      <c r="FD191" s="125"/>
      <c r="FE191" s="125"/>
      <c r="FF191" s="125"/>
      <c r="FG191" s="125"/>
      <c r="FH191" s="125"/>
      <c r="FI191" s="125"/>
      <c r="FJ191" s="125"/>
      <c r="FK191" s="125"/>
      <c r="FL191" s="125"/>
      <c r="FM191" s="125"/>
      <c r="FN191" s="125"/>
      <c r="FO191" s="125"/>
      <c r="FP191" s="125"/>
      <c r="FQ191" s="125"/>
      <c r="FR191" s="125"/>
      <c r="FS191" s="125"/>
      <c r="FT191" s="125"/>
      <c r="FU191" s="125"/>
      <c r="FV191" s="125"/>
      <c r="FW191" s="125"/>
      <c r="FX191" s="125"/>
      <c r="FY191" s="125"/>
    </row>
    <row r="192" spans="1:181" ht="7.5" customHeight="1">
      <c r="A192" s="4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129"/>
      <c r="BZ192" s="129"/>
      <c r="CA192" s="129"/>
      <c r="CB192" s="125"/>
      <c r="CC192" s="125"/>
      <c r="CD192" s="125"/>
      <c r="CE192" s="125"/>
      <c r="CF192" s="125"/>
      <c r="CG192" s="125"/>
      <c r="CH192" s="125"/>
      <c r="CI192" s="125"/>
      <c r="CJ192" s="125"/>
      <c r="CK192" s="125"/>
      <c r="CL192" s="125"/>
      <c r="CM192" s="125"/>
      <c r="CN192" s="125"/>
      <c r="CO192" s="125"/>
      <c r="CP192" s="125"/>
      <c r="CQ192" s="125"/>
      <c r="CR192" s="125"/>
      <c r="CS192" s="125"/>
      <c r="CT192" s="125"/>
      <c r="CU192" s="125"/>
      <c r="CV192" s="125"/>
      <c r="CW192" s="125"/>
      <c r="CX192" s="125"/>
      <c r="CY192" s="125"/>
      <c r="CZ192" s="125"/>
      <c r="DA192" s="125"/>
      <c r="DB192" s="125"/>
      <c r="DC192" s="125"/>
      <c r="DD192" s="125"/>
      <c r="DE192" s="125"/>
      <c r="DF192" s="125"/>
      <c r="DG192" s="125"/>
      <c r="DH192" s="125"/>
      <c r="DI192" s="125"/>
      <c r="DJ192" s="125"/>
      <c r="DK192" s="125"/>
      <c r="DL192" s="125"/>
      <c r="DM192" s="125"/>
      <c r="DN192" s="125"/>
      <c r="DO192" s="125"/>
      <c r="DP192" s="125"/>
      <c r="DQ192" s="125"/>
      <c r="DR192" s="125"/>
      <c r="DS192" s="125"/>
      <c r="DT192" s="125"/>
      <c r="DU192" s="125"/>
      <c r="DV192" s="125"/>
      <c r="DW192" s="125"/>
      <c r="DX192" s="125"/>
      <c r="DY192" s="125"/>
      <c r="DZ192" s="125"/>
      <c r="EA192" s="125"/>
      <c r="EB192" s="125"/>
      <c r="EC192" s="125"/>
      <c r="ED192" s="125"/>
      <c r="EE192" s="125"/>
      <c r="EF192" s="125"/>
      <c r="EG192" s="125"/>
      <c r="EH192" s="125"/>
      <c r="EI192" s="125"/>
      <c r="EJ192" s="125"/>
      <c r="EK192" s="125"/>
      <c r="EL192" s="125"/>
      <c r="EM192" s="125"/>
      <c r="EN192" s="125"/>
      <c r="EO192" s="125"/>
      <c r="EP192" s="125"/>
      <c r="EQ192" s="125"/>
      <c r="ER192" s="125"/>
      <c r="ES192" s="125"/>
      <c r="ET192" s="125"/>
      <c r="EU192" s="125"/>
      <c r="EV192" s="125"/>
      <c r="EW192" s="125"/>
      <c r="EX192" s="125"/>
      <c r="EY192" s="125"/>
      <c r="EZ192" s="125"/>
      <c r="FA192" s="125"/>
      <c r="FB192" s="125"/>
      <c r="FC192" s="125"/>
      <c r="FD192" s="125"/>
      <c r="FE192" s="125"/>
      <c r="FF192" s="125"/>
      <c r="FG192" s="125"/>
      <c r="FH192" s="125"/>
      <c r="FI192" s="125"/>
      <c r="FJ192" s="125"/>
      <c r="FK192" s="125"/>
      <c r="FL192" s="125"/>
      <c r="FM192" s="125"/>
      <c r="FN192" s="125"/>
      <c r="FO192" s="125"/>
      <c r="FP192" s="125"/>
      <c r="FQ192" s="125"/>
      <c r="FR192" s="125"/>
      <c r="FS192" s="125"/>
      <c r="FT192" s="125"/>
      <c r="FU192" s="125"/>
      <c r="FV192" s="125"/>
      <c r="FW192" s="125"/>
      <c r="FX192" s="125"/>
      <c r="FY192" s="125"/>
    </row>
    <row r="193" spans="1:181" ht="7.5" customHeight="1">
      <c r="A193" s="43"/>
      <c r="B193" s="103"/>
      <c r="C193" s="103"/>
      <c r="D193" s="147" t="s">
        <v>313</v>
      </c>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43"/>
      <c r="BX193" s="43"/>
      <c r="BY193" s="125"/>
      <c r="BZ193" s="125"/>
      <c r="CA193" s="125"/>
      <c r="CB193" s="125"/>
      <c r="CC193" s="125"/>
      <c r="CD193" s="125"/>
      <c r="CE193" s="125"/>
      <c r="CF193" s="125"/>
      <c r="CG193" s="125"/>
      <c r="CH193" s="125"/>
      <c r="CI193" s="125"/>
      <c r="CJ193" s="125"/>
      <c r="CK193" s="125"/>
      <c r="CL193" s="125"/>
      <c r="CM193" s="125"/>
      <c r="CN193" s="125"/>
      <c r="CO193" s="125"/>
      <c r="CP193" s="125"/>
      <c r="CQ193" s="125"/>
      <c r="CR193" s="125"/>
      <c r="CS193" s="125"/>
      <c r="CT193" s="125"/>
      <c r="CU193" s="125"/>
      <c r="CV193" s="125"/>
      <c r="CW193" s="125"/>
      <c r="CX193" s="125"/>
      <c r="CY193" s="125"/>
      <c r="CZ193" s="125"/>
      <c r="DA193" s="125"/>
      <c r="DB193" s="125"/>
      <c r="DC193" s="125"/>
      <c r="DD193" s="125"/>
      <c r="DE193" s="125"/>
      <c r="DF193" s="125"/>
      <c r="DG193" s="125"/>
      <c r="DH193" s="125"/>
      <c r="DI193" s="125"/>
      <c r="DJ193" s="125"/>
      <c r="DK193" s="125"/>
      <c r="DL193" s="125"/>
      <c r="DM193" s="125"/>
      <c r="DN193" s="125"/>
      <c r="DO193" s="125"/>
      <c r="DP193" s="125"/>
      <c r="DQ193" s="125"/>
      <c r="DR193" s="125"/>
      <c r="DS193" s="125"/>
      <c r="DT193" s="125"/>
      <c r="DU193" s="125"/>
      <c r="DV193" s="125"/>
      <c r="DW193" s="125"/>
      <c r="DX193" s="125"/>
      <c r="DY193" s="125"/>
      <c r="DZ193" s="125"/>
      <c r="EA193" s="125"/>
      <c r="EB193" s="125"/>
      <c r="EC193" s="125"/>
      <c r="ED193" s="125"/>
      <c r="EE193" s="125"/>
      <c r="EF193" s="125"/>
      <c r="EG193" s="125"/>
      <c r="EH193" s="125"/>
      <c r="EI193" s="125"/>
      <c r="EJ193" s="125"/>
      <c r="EK193" s="125"/>
      <c r="EL193" s="125"/>
      <c r="EM193" s="125"/>
      <c r="EN193" s="125"/>
      <c r="EO193" s="125"/>
      <c r="EP193" s="125"/>
      <c r="EQ193" s="125"/>
      <c r="ER193" s="125"/>
      <c r="ES193" s="125"/>
      <c r="ET193" s="125"/>
      <c r="EU193" s="125"/>
      <c r="EV193" s="125"/>
      <c r="EW193" s="125"/>
      <c r="EX193" s="125"/>
      <c r="EY193" s="125"/>
      <c r="EZ193" s="125"/>
      <c r="FA193" s="125"/>
      <c r="FB193" s="125"/>
      <c r="FC193" s="125"/>
      <c r="FD193" s="125"/>
      <c r="FE193" s="125"/>
      <c r="FF193" s="125"/>
      <c r="FG193" s="125"/>
      <c r="FH193" s="125"/>
      <c r="FI193" s="125"/>
      <c r="FJ193" s="125"/>
      <c r="FK193" s="125"/>
      <c r="FL193" s="125"/>
      <c r="FM193" s="125"/>
      <c r="FN193" s="125"/>
      <c r="FO193" s="125"/>
      <c r="FP193" s="125"/>
      <c r="FQ193" s="125"/>
      <c r="FR193" s="125"/>
      <c r="FS193" s="125"/>
      <c r="FT193" s="125"/>
      <c r="FU193" s="125"/>
      <c r="FV193" s="125"/>
      <c r="FW193" s="125"/>
      <c r="FX193" s="125"/>
      <c r="FY193" s="125"/>
    </row>
    <row r="194" spans="1:181" ht="7.5" customHeight="1">
      <c r="A194" s="43"/>
      <c r="B194" s="103"/>
      <c r="C194" s="103"/>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43"/>
      <c r="BX194" s="43"/>
      <c r="BY194" s="125"/>
      <c r="BZ194" s="125"/>
      <c r="CA194" s="125"/>
      <c r="CB194" s="125"/>
      <c r="CC194" s="125"/>
      <c r="CD194" s="125"/>
      <c r="CE194" s="125"/>
      <c r="CF194" s="125"/>
      <c r="CG194" s="125"/>
      <c r="CH194" s="125"/>
      <c r="CI194" s="125"/>
      <c r="CJ194" s="125"/>
      <c r="CK194" s="125"/>
      <c r="CL194" s="125"/>
      <c r="CM194" s="125"/>
      <c r="CN194" s="125"/>
      <c r="CO194" s="125"/>
      <c r="CP194" s="125"/>
      <c r="CQ194" s="125"/>
      <c r="DZ194" s="125"/>
      <c r="EA194" s="125"/>
      <c r="EB194" s="125"/>
      <c r="EC194" s="125"/>
      <c r="ED194" s="125"/>
      <c r="EE194" s="125"/>
      <c r="EF194" s="125"/>
      <c r="EG194" s="125"/>
      <c r="EH194" s="125"/>
      <c r="EI194" s="125"/>
      <c r="EJ194" s="125"/>
      <c r="EK194" s="125"/>
      <c r="EL194" s="125"/>
      <c r="EM194" s="125"/>
      <c r="EN194" s="125"/>
      <c r="EO194" s="125"/>
      <c r="EP194" s="125"/>
      <c r="EQ194" s="125"/>
      <c r="ER194" s="125"/>
      <c r="ES194" s="125"/>
      <c r="ET194" s="125"/>
      <c r="EU194" s="125"/>
      <c r="EV194" s="125"/>
      <c r="EW194" s="125"/>
      <c r="EX194" s="125"/>
      <c r="EY194" s="125"/>
      <c r="EZ194" s="125"/>
      <c r="FA194" s="125"/>
      <c r="FB194" s="125"/>
      <c r="FC194" s="125"/>
      <c r="FD194" s="125"/>
      <c r="FE194" s="125"/>
      <c r="FF194" s="125"/>
      <c r="FG194" s="125"/>
      <c r="FH194" s="125"/>
      <c r="FI194" s="125"/>
      <c r="FJ194" s="125"/>
      <c r="FK194" s="125"/>
      <c r="FL194" s="125"/>
      <c r="FM194" s="125"/>
      <c r="FN194" s="125"/>
      <c r="FO194" s="125"/>
      <c r="FP194" s="125"/>
      <c r="FQ194" s="125"/>
      <c r="FR194" s="125"/>
      <c r="FS194" s="125"/>
      <c r="FT194" s="125"/>
      <c r="FU194" s="125"/>
      <c r="FV194" s="125"/>
      <c r="FW194" s="125"/>
      <c r="FX194" s="125"/>
      <c r="FY194" s="125"/>
    </row>
    <row r="195" spans="1:181" ht="7.5" customHeight="1">
      <c r="A195" s="43"/>
      <c r="B195" s="103"/>
      <c r="C195" s="103"/>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43"/>
      <c r="BX195" s="43"/>
      <c r="BY195" s="125"/>
      <c r="BZ195" s="125"/>
      <c r="CA195" s="125"/>
      <c r="CB195" s="125"/>
      <c r="CC195" s="125"/>
      <c r="CD195" s="125"/>
      <c r="CE195" s="125"/>
      <c r="CF195" s="125"/>
      <c r="CG195" s="125"/>
      <c r="CH195" s="125"/>
      <c r="CI195" s="125"/>
      <c r="CJ195" s="125"/>
      <c r="CK195" s="125"/>
      <c r="CL195" s="125"/>
      <c r="CM195" s="125"/>
      <c r="CN195" s="125"/>
      <c r="CO195" s="125"/>
      <c r="CP195" s="125"/>
      <c r="CQ195" s="125"/>
      <c r="DZ195" s="125"/>
      <c r="EA195" s="125"/>
      <c r="EB195" s="125"/>
      <c r="EC195" s="125"/>
      <c r="ED195" s="125"/>
      <c r="EE195" s="125"/>
      <c r="EF195" s="125"/>
      <c r="EG195" s="125"/>
      <c r="EH195" s="125"/>
      <c r="EI195" s="125"/>
      <c r="EJ195" s="125"/>
      <c r="EK195" s="125"/>
      <c r="EL195" s="125"/>
      <c r="EM195" s="125"/>
      <c r="EN195" s="125"/>
      <c r="EO195" s="125"/>
      <c r="EP195" s="125"/>
      <c r="EQ195" s="125"/>
      <c r="ER195" s="125"/>
      <c r="ES195" s="125"/>
      <c r="ET195" s="125"/>
      <c r="EU195" s="125"/>
      <c r="EV195" s="125"/>
      <c r="EW195" s="125"/>
      <c r="EX195" s="125"/>
      <c r="EY195" s="125"/>
      <c r="EZ195" s="125"/>
      <c r="FA195" s="125"/>
      <c r="FB195" s="125"/>
      <c r="FC195" s="125"/>
      <c r="FD195" s="125"/>
      <c r="FE195" s="125"/>
      <c r="FF195" s="125"/>
      <c r="FG195" s="125"/>
      <c r="FH195" s="125"/>
      <c r="FI195" s="125"/>
      <c r="FJ195" s="125"/>
      <c r="FK195" s="125"/>
      <c r="FL195" s="125"/>
      <c r="FM195" s="125"/>
      <c r="FN195" s="125"/>
      <c r="FO195" s="125"/>
      <c r="FP195" s="125"/>
      <c r="FQ195" s="125"/>
      <c r="FR195" s="125"/>
      <c r="FS195" s="125"/>
      <c r="FT195" s="125"/>
      <c r="FU195" s="125"/>
      <c r="FV195" s="125"/>
      <c r="FW195" s="125"/>
      <c r="FX195" s="125"/>
      <c r="FY195" s="125"/>
    </row>
    <row r="196" spans="1:181" ht="7.5" customHeight="1">
      <c r="A196" s="43"/>
      <c r="B196" s="103"/>
      <c r="C196" s="103"/>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43"/>
      <c r="BX196" s="43"/>
      <c r="BY196" s="125"/>
      <c r="BZ196" s="125"/>
      <c r="CA196" s="125"/>
      <c r="CB196" s="125"/>
      <c r="CC196" s="125"/>
      <c r="CD196" s="125"/>
      <c r="CE196" s="125"/>
      <c r="CF196" s="125"/>
      <c r="CG196" s="125"/>
      <c r="CH196" s="125"/>
      <c r="CI196" s="125"/>
      <c r="CJ196" s="125"/>
      <c r="CK196" s="125"/>
      <c r="CL196" s="125"/>
      <c r="CM196" s="125"/>
      <c r="CN196" s="125"/>
      <c r="CO196" s="125"/>
      <c r="CP196" s="125"/>
      <c r="CQ196" s="125"/>
      <c r="CR196" s="125"/>
      <c r="CS196" s="125"/>
      <c r="CT196" s="125"/>
      <c r="CU196" s="125"/>
      <c r="CV196" s="125"/>
      <c r="CW196" s="125"/>
      <c r="CX196" s="125"/>
      <c r="CY196" s="125"/>
      <c r="CZ196" s="125"/>
      <c r="DA196" s="125"/>
      <c r="DB196" s="125"/>
      <c r="DC196" s="125"/>
      <c r="DD196" s="125"/>
      <c r="DE196" s="125"/>
      <c r="DF196" s="125"/>
      <c r="DG196" s="125"/>
      <c r="DH196" s="125"/>
      <c r="DI196" s="125"/>
      <c r="DJ196" s="125"/>
      <c r="DK196" s="125"/>
      <c r="DL196" s="125"/>
      <c r="DM196" s="125"/>
      <c r="DN196" s="125"/>
      <c r="DO196" s="125"/>
      <c r="DP196" s="125"/>
      <c r="DQ196" s="125"/>
      <c r="DR196" s="125"/>
      <c r="DS196" s="125"/>
      <c r="DT196" s="125"/>
      <c r="DU196" s="125"/>
      <c r="DV196" s="125"/>
      <c r="DW196" s="125"/>
      <c r="DX196" s="125"/>
      <c r="DY196" s="125"/>
      <c r="DZ196" s="125"/>
      <c r="EA196" s="125"/>
      <c r="EB196" s="125"/>
      <c r="EC196" s="125"/>
      <c r="ED196" s="125"/>
      <c r="EE196" s="125"/>
      <c r="EF196" s="125"/>
      <c r="EG196" s="125"/>
      <c r="EH196" s="125"/>
      <c r="EI196" s="125"/>
      <c r="EJ196" s="125"/>
      <c r="EK196" s="125"/>
      <c r="EL196" s="125"/>
      <c r="EM196" s="125"/>
      <c r="EN196" s="125"/>
      <c r="EO196" s="125"/>
      <c r="EP196" s="125"/>
      <c r="EQ196" s="125"/>
      <c r="ER196" s="125"/>
      <c r="ES196" s="125"/>
      <c r="ET196" s="125"/>
      <c r="EU196" s="125"/>
      <c r="EV196" s="125"/>
      <c r="EW196" s="125"/>
      <c r="EX196" s="125"/>
      <c r="EY196" s="125"/>
      <c r="EZ196" s="125"/>
      <c r="FA196" s="125"/>
      <c r="FB196" s="125"/>
      <c r="FC196" s="125"/>
      <c r="FD196" s="125"/>
      <c r="FE196" s="125"/>
      <c r="FF196" s="125"/>
      <c r="FG196" s="125"/>
      <c r="FH196" s="125"/>
      <c r="FI196" s="125"/>
      <c r="FJ196" s="125"/>
      <c r="FK196" s="125"/>
      <c r="FL196" s="125"/>
      <c r="FM196" s="125"/>
      <c r="FN196" s="125"/>
      <c r="FO196" s="125"/>
      <c r="FP196" s="125"/>
      <c r="FQ196" s="125"/>
      <c r="FR196" s="125"/>
      <c r="FS196" s="125"/>
      <c r="FT196" s="125"/>
      <c r="FU196" s="125"/>
      <c r="FV196" s="125"/>
      <c r="FW196" s="125"/>
      <c r="FX196" s="125"/>
      <c r="FY196" s="125"/>
    </row>
    <row r="197" spans="1:181" ht="7.5" customHeight="1">
      <c r="A197" s="43"/>
      <c r="B197" s="103"/>
      <c r="C197" s="103"/>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43"/>
      <c r="BX197" s="43"/>
      <c r="BY197" s="125"/>
      <c r="BZ197" s="125"/>
      <c r="CA197" s="125"/>
      <c r="CB197" s="125"/>
      <c r="CC197" s="125"/>
      <c r="CD197" s="125"/>
      <c r="CE197" s="125"/>
      <c r="CF197" s="125"/>
      <c r="CG197" s="125"/>
      <c r="CH197" s="125"/>
      <c r="CI197" s="125"/>
      <c r="CJ197" s="125"/>
      <c r="CK197" s="125"/>
      <c r="CL197" s="125"/>
      <c r="CM197" s="125"/>
      <c r="CN197" s="125"/>
      <c r="CO197" s="125"/>
      <c r="CP197" s="125"/>
      <c r="CQ197" s="125"/>
      <c r="CR197" s="125"/>
      <c r="CS197" s="125"/>
      <c r="CT197" s="125"/>
      <c r="CU197" s="125"/>
      <c r="CV197" s="125"/>
      <c r="CW197" s="125"/>
      <c r="CX197" s="125"/>
      <c r="CY197" s="125"/>
      <c r="CZ197" s="125"/>
      <c r="DA197" s="125"/>
      <c r="DB197" s="125"/>
      <c r="DC197" s="125"/>
      <c r="DD197" s="125"/>
      <c r="DE197" s="125"/>
      <c r="DF197" s="125"/>
      <c r="DG197" s="125"/>
      <c r="DH197" s="125"/>
      <c r="DI197" s="125"/>
      <c r="DJ197" s="125"/>
      <c r="DK197" s="125"/>
      <c r="DL197" s="125"/>
      <c r="DM197" s="125"/>
      <c r="DN197" s="125"/>
      <c r="DO197" s="125"/>
      <c r="DP197" s="125"/>
      <c r="DQ197" s="125"/>
      <c r="DR197" s="125"/>
      <c r="DS197" s="125"/>
      <c r="DT197" s="125"/>
      <c r="DU197" s="125"/>
      <c r="DV197" s="125"/>
      <c r="DW197" s="125"/>
      <c r="DX197" s="125"/>
      <c r="DY197" s="125"/>
      <c r="DZ197" s="125"/>
      <c r="EA197" s="125"/>
      <c r="EB197" s="125"/>
      <c r="EC197" s="125"/>
      <c r="ED197" s="125"/>
      <c r="EE197" s="125"/>
      <c r="EF197" s="125"/>
      <c r="EG197" s="125"/>
      <c r="EH197" s="125"/>
      <c r="EI197" s="125"/>
      <c r="EJ197" s="125"/>
      <c r="EK197" s="125"/>
      <c r="EL197" s="125"/>
      <c r="EM197" s="125"/>
      <c r="EN197" s="125"/>
      <c r="EO197" s="125"/>
      <c r="EP197" s="125"/>
      <c r="EQ197" s="125"/>
      <c r="ER197" s="125"/>
      <c r="ES197" s="125"/>
      <c r="ET197" s="125"/>
      <c r="EU197" s="125"/>
      <c r="EV197" s="125"/>
      <c r="EW197" s="125"/>
      <c r="EX197" s="125"/>
      <c r="EY197" s="125"/>
      <c r="EZ197" s="125"/>
      <c r="FA197" s="125"/>
      <c r="FB197" s="125"/>
      <c r="FC197" s="125"/>
      <c r="FD197" s="125"/>
      <c r="FE197" s="125"/>
      <c r="FF197" s="125"/>
      <c r="FG197" s="125"/>
      <c r="FH197" s="125"/>
      <c r="FI197" s="125"/>
      <c r="FJ197" s="125"/>
      <c r="FK197" s="125"/>
      <c r="FL197" s="125"/>
      <c r="FM197" s="125"/>
      <c r="FN197" s="125"/>
      <c r="FO197" s="125"/>
      <c r="FP197" s="125"/>
      <c r="FQ197" s="125"/>
      <c r="FR197" s="125"/>
      <c r="FS197" s="125"/>
      <c r="FT197" s="125"/>
      <c r="FU197" s="125"/>
      <c r="FV197" s="125"/>
      <c r="FW197" s="125"/>
      <c r="FX197" s="125"/>
      <c r="FY197" s="125"/>
    </row>
    <row r="198" spans="1:181" ht="7.5" customHeight="1">
      <c r="A198" s="43"/>
      <c r="B198" s="103"/>
      <c r="C198" s="103"/>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43"/>
      <c r="BX198" s="43"/>
      <c r="BY198" s="125"/>
      <c r="BZ198" s="125"/>
      <c r="CA198" s="125"/>
      <c r="CB198" s="125"/>
      <c r="CC198" s="125"/>
      <c r="CD198" s="125"/>
      <c r="CE198" s="125"/>
      <c r="CF198" s="125"/>
      <c r="CG198" s="125"/>
      <c r="CH198" s="125"/>
      <c r="CI198" s="125"/>
      <c r="CJ198" s="125"/>
      <c r="CK198" s="125"/>
      <c r="CL198" s="125"/>
      <c r="DU198" s="125"/>
      <c r="DV198" s="125"/>
      <c r="DW198" s="125"/>
      <c r="DX198" s="125"/>
      <c r="DY198" s="125"/>
      <c r="DZ198" s="125"/>
      <c r="EA198" s="125"/>
      <c r="EB198" s="125"/>
      <c r="EC198" s="125"/>
      <c r="ED198" s="125"/>
      <c r="EE198" s="125"/>
      <c r="EF198" s="125"/>
      <c r="EG198" s="125"/>
      <c r="EH198" s="125"/>
      <c r="EI198" s="125"/>
      <c r="EJ198" s="125"/>
      <c r="EK198" s="125"/>
      <c r="EL198" s="125"/>
      <c r="EM198" s="125"/>
      <c r="EN198" s="125"/>
      <c r="EO198" s="125"/>
      <c r="EP198" s="125"/>
      <c r="EQ198" s="125"/>
      <c r="ER198" s="125"/>
      <c r="ES198" s="125"/>
      <c r="ET198" s="125"/>
      <c r="EU198" s="125"/>
      <c r="EV198" s="125"/>
      <c r="EW198" s="125"/>
      <c r="EX198" s="125"/>
      <c r="EY198" s="125"/>
      <c r="EZ198" s="125"/>
      <c r="FA198" s="125"/>
      <c r="FB198" s="125"/>
      <c r="FC198" s="125"/>
      <c r="FD198" s="125"/>
      <c r="FE198" s="125"/>
      <c r="FF198" s="125"/>
      <c r="FG198" s="125"/>
      <c r="FH198" s="125"/>
      <c r="FI198" s="125"/>
      <c r="FJ198" s="125"/>
      <c r="FK198" s="125"/>
      <c r="FL198" s="125"/>
      <c r="FM198" s="125"/>
      <c r="FN198" s="125"/>
      <c r="FO198" s="125"/>
      <c r="FP198" s="125"/>
      <c r="FQ198" s="125"/>
      <c r="FR198" s="125"/>
      <c r="FS198" s="125"/>
      <c r="FT198" s="125"/>
      <c r="FU198" s="125"/>
      <c r="FV198" s="125"/>
      <c r="FW198" s="125"/>
      <c r="FX198" s="125"/>
      <c r="FY198" s="125"/>
    </row>
    <row r="199" spans="1:181" ht="7.5" customHeight="1">
      <c r="A199" s="43"/>
      <c r="B199" s="103"/>
      <c r="C199" s="103"/>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43"/>
      <c r="BX199" s="43"/>
      <c r="BY199" s="125"/>
      <c r="BZ199" s="125"/>
      <c r="CA199" s="125"/>
      <c r="CB199" s="125"/>
      <c r="CC199" s="125"/>
      <c r="CD199" s="125"/>
      <c r="CE199" s="125"/>
      <c r="CF199" s="125"/>
      <c r="CG199" s="125"/>
      <c r="CH199" s="125"/>
      <c r="CI199" s="125"/>
      <c r="CJ199" s="125"/>
      <c r="CK199" s="125"/>
      <c r="CL199" s="125"/>
      <c r="DU199" s="125"/>
      <c r="DV199" s="125"/>
      <c r="DW199" s="125"/>
      <c r="DX199" s="125"/>
      <c r="DY199" s="125"/>
      <c r="DZ199" s="125"/>
      <c r="EA199" s="125"/>
      <c r="EB199" s="125"/>
      <c r="EC199" s="125"/>
      <c r="ED199" s="125"/>
      <c r="EE199" s="125"/>
      <c r="EF199" s="125"/>
      <c r="EG199" s="125"/>
      <c r="EH199" s="125"/>
      <c r="EI199" s="125"/>
      <c r="EJ199" s="125"/>
      <c r="EK199" s="125"/>
      <c r="EL199" s="125"/>
      <c r="EM199" s="125"/>
      <c r="EN199" s="125"/>
      <c r="EO199" s="125"/>
      <c r="EP199" s="125"/>
      <c r="EQ199" s="125"/>
      <c r="ER199" s="125"/>
      <c r="ES199" s="125"/>
      <c r="ET199" s="125"/>
      <c r="EU199" s="125"/>
      <c r="EV199" s="125"/>
      <c r="EW199" s="125"/>
      <c r="EX199" s="125"/>
      <c r="EY199" s="125"/>
      <c r="EZ199" s="125"/>
      <c r="FA199" s="125"/>
      <c r="FB199" s="125"/>
      <c r="FC199" s="125"/>
      <c r="FD199" s="125"/>
      <c r="FE199" s="125"/>
      <c r="FF199" s="125"/>
      <c r="FG199" s="125"/>
      <c r="FH199" s="125"/>
      <c r="FI199" s="125"/>
      <c r="FJ199" s="125"/>
      <c r="FK199" s="125"/>
      <c r="FL199" s="125"/>
      <c r="FM199" s="125"/>
      <c r="FN199" s="125"/>
      <c r="FO199" s="125"/>
      <c r="FP199" s="125"/>
      <c r="FQ199" s="125"/>
      <c r="FR199" s="125"/>
      <c r="FS199" s="125"/>
      <c r="FT199" s="125"/>
      <c r="FU199" s="125"/>
      <c r="FV199" s="125"/>
      <c r="FW199" s="125"/>
      <c r="FX199" s="125"/>
      <c r="FY199" s="125"/>
    </row>
    <row r="200" spans="1:181" ht="7.5" customHeight="1">
      <c r="A200" s="43"/>
      <c r="B200" s="103"/>
      <c r="C200" s="103"/>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43"/>
      <c r="BX200" s="43"/>
      <c r="BY200" s="125"/>
      <c r="BZ200" s="125"/>
      <c r="CA200" s="125"/>
      <c r="CB200" s="125"/>
      <c r="CC200" s="125"/>
      <c r="CD200" s="125"/>
      <c r="CE200" s="125"/>
      <c r="CF200" s="125"/>
      <c r="CG200" s="125"/>
      <c r="CH200" s="125"/>
      <c r="CI200" s="125"/>
      <c r="CJ200" s="125"/>
      <c r="CK200" s="125"/>
      <c r="CL200" s="125"/>
      <c r="CM200" s="125"/>
      <c r="CN200" s="125"/>
      <c r="CO200" s="125"/>
      <c r="CP200" s="125"/>
      <c r="CQ200" s="125"/>
      <c r="CR200" s="125"/>
      <c r="CS200" s="125"/>
      <c r="CT200" s="125"/>
      <c r="CU200" s="125"/>
      <c r="CV200" s="125"/>
      <c r="CW200" s="125"/>
      <c r="CX200" s="125"/>
      <c r="CY200" s="125"/>
      <c r="EH200" s="125"/>
      <c r="EI200" s="125"/>
      <c r="EJ200" s="125"/>
      <c r="EK200" s="125"/>
      <c r="EL200" s="125"/>
      <c r="EM200" s="125"/>
      <c r="EN200" s="125"/>
      <c r="EO200" s="125"/>
      <c r="EP200" s="125"/>
      <c r="EQ200" s="125"/>
      <c r="ER200" s="125"/>
      <c r="ES200" s="125"/>
      <c r="ET200" s="125"/>
      <c r="EU200" s="125"/>
      <c r="EV200" s="125"/>
      <c r="EW200" s="125"/>
      <c r="EX200" s="125"/>
      <c r="EY200" s="125"/>
      <c r="EZ200" s="125"/>
      <c r="FA200" s="125"/>
      <c r="FB200" s="125"/>
      <c r="FC200" s="125"/>
      <c r="FD200" s="125"/>
      <c r="FE200" s="125"/>
      <c r="FF200" s="125"/>
      <c r="FG200" s="125"/>
      <c r="FH200" s="125"/>
      <c r="FI200" s="125"/>
      <c r="FJ200" s="125"/>
      <c r="FK200" s="125"/>
      <c r="FL200" s="125"/>
      <c r="FM200" s="125"/>
      <c r="FN200" s="125"/>
      <c r="FO200" s="125"/>
      <c r="FP200" s="125"/>
      <c r="FQ200" s="125"/>
      <c r="FR200" s="125"/>
      <c r="FS200" s="125"/>
      <c r="FT200" s="125"/>
      <c r="FU200" s="125"/>
      <c r="FV200" s="125"/>
      <c r="FW200" s="125"/>
      <c r="FX200" s="125"/>
      <c r="FY200" s="125"/>
    </row>
    <row r="201" spans="1:181" ht="7.5" customHeight="1">
      <c r="A201" s="43"/>
      <c r="B201" s="103"/>
      <c r="C201" s="103"/>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43"/>
      <c r="BX201" s="43"/>
      <c r="BY201" s="125"/>
      <c r="BZ201" s="125"/>
      <c r="CA201" s="125"/>
      <c r="CB201" s="125"/>
      <c r="CC201" s="125"/>
      <c r="CD201" s="125"/>
      <c r="CE201" s="125"/>
      <c r="CF201" s="125"/>
      <c r="CG201" s="125"/>
      <c r="CH201" s="125"/>
      <c r="CI201" s="125"/>
      <c r="CJ201" s="125"/>
      <c r="CK201" s="125"/>
      <c r="CL201" s="125"/>
      <c r="CM201" s="125"/>
      <c r="CN201" s="125"/>
      <c r="CO201" s="125"/>
      <c r="CP201" s="125"/>
      <c r="CQ201" s="125"/>
      <c r="CR201" s="125"/>
      <c r="CS201" s="125"/>
      <c r="CT201" s="125"/>
      <c r="CU201" s="125"/>
      <c r="CV201" s="125"/>
      <c r="CW201" s="125"/>
      <c r="CX201" s="125"/>
      <c r="CY201" s="125"/>
      <c r="EH201" s="125"/>
      <c r="EI201" s="125"/>
      <c r="EJ201" s="125"/>
      <c r="EK201" s="125"/>
      <c r="EL201" s="125"/>
      <c r="EM201" s="125"/>
      <c r="EN201" s="125"/>
      <c r="EO201" s="125"/>
      <c r="EP201" s="125"/>
      <c r="EQ201" s="125"/>
      <c r="ER201" s="125"/>
      <c r="ES201" s="125"/>
      <c r="ET201" s="125"/>
      <c r="EU201" s="125"/>
      <c r="EV201" s="125"/>
      <c r="EW201" s="125"/>
      <c r="EX201" s="125"/>
      <c r="EY201" s="125"/>
      <c r="EZ201" s="125"/>
      <c r="FA201" s="125"/>
      <c r="FB201" s="125"/>
      <c r="FC201" s="125"/>
      <c r="FD201" s="125"/>
      <c r="FE201" s="125"/>
      <c r="FF201" s="125"/>
      <c r="FG201" s="125"/>
      <c r="FH201" s="125"/>
      <c r="FI201" s="125"/>
      <c r="FJ201" s="125"/>
      <c r="FK201" s="125"/>
      <c r="FL201" s="125"/>
      <c r="FM201" s="125"/>
      <c r="FN201" s="125"/>
      <c r="FO201" s="125"/>
      <c r="FP201" s="125"/>
      <c r="FQ201" s="125"/>
      <c r="FR201" s="125"/>
      <c r="FS201" s="125"/>
      <c r="FT201" s="125"/>
      <c r="FU201" s="125"/>
      <c r="FV201" s="125"/>
      <c r="FW201" s="125"/>
      <c r="FX201" s="125"/>
      <c r="FY201" s="125"/>
    </row>
    <row r="202" spans="1:181" ht="7.5" customHeight="1">
      <c r="A202" s="43"/>
      <c r="B202" s="103"/>
      <c r="C202" s="103"/>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43"/>
      <c r="BX202" s="43"/>
      <c r="BY202" s="125"/>
      <c r="BZ202" s="125"/>
      <c r="CA202" s="125"/>
      <c r="CB202" s="125"/>
      <c r="CC202" s="125"/>
      <c r="CD202" s="125"/>
      <c r="CE202" s="125"/>
      <c r="CF202" s="125"/>
      <c r="CG202" s="125"/>
      <c r="CH202" s="125"/>
      <c r="CI202" s="125"/>
      <c r="CJ202" s="125"/>
      <c r="CK202" s="125"/>
      <c r="CL202" s="125"/>
      <c r="CM202" s="125"/>
      <c r="CN202" s="125"/>
      <c r="CO202" s="125"/>
      <c r="CP202" s="125"/>
      <c r="CQ202" s="125"/>
      <c r="CR202" s="125"/>
      <c r="CS202" s="125"/>
      <c r="CT202" s="125"/>
      <c r="CU202" s="125"/>
      <c r="CV202" s="125"/>
      <c r="CW202" s="125"/>
      <c r="CX202" s="125"/>
      <c r="CY202" s="125"/>
      <c r="EH202" s="125"/>
      <c r="EI202" s="125"/>
      <c r="EJ202" s="125"/>
      <c r="EK202" s="125"/>
      <c r="EL202" s="125"/>
      <c r="EM202" s="125"/>
      <c r="EN202" s="125"/>
      <c r="EO202" s="125"/>
      <c r="EP202" s="125"/>
      <c r="EQ202" s="125"/>
      <c r="ER202" s="125"/>
      <c r="ES202" s="125"/>
      <c r="ET202" s="125"/>
      <c r="EU202" s="125"/>
      <c r="EV202" s="125"/>
      <c r="EW202" s="125"/>
      <c r="EX202" s="125"/>
      <c r="EY202" s="125"/>
      <c r="EZ202" s="125"/>
      <c r="FA202" s="125"/>
      <c r="FB202" s="125"/>
      <c r="FC202" s="125"/>
      <c r="FD202" s="125"/>
      <c r="FE202" s="125"/>
      <c r="FF202" s="125"/>
      <c r="FG202" s="125"/>
      <c r="FH202" s="125"/>
      <c r="FI202" s="125"/>
      <c r="FJ202" s="125"/>
      <c r="FK202" s="125"/>
      <c r="FL202" s="125"/>
      <c r="FM202" s="125"/>
      <c r="FN202" s="125"/>
      <c r="FO202" s="125"/>
      <c r="FP202" s="125"/>
      <c r="FQ202" s="125"/>
      <c r="FR202" s="125"/>
      <c r="FS202" s="125"/>
      <c r="FT202" s="125"/>
      <c r="FU202" s="125"/>
      <c r="FV202" s="125"/>
      <c r="FW202" s="125"/>
      <c r="FX202" s="125"/>
      <c r="FY202" s="125"/>
    </row>
    <row r="203" spans="1:181" ht="7.5" customHeight="1">
      <c r="A203" s="43"/>
      <c r="B203" s="103"/>
      <c r="C203" s="103"/>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43"/>
      <c r="BX203" s="43"/>
      <c r="BY203" s="125"/>
      <c r="BZ203" s="125"/>
      <c r="CA203" s="125"/>
      <c r="CB203" s="125"/>
      <c r="CC203" s="125"/>
      <c r="CD203" s="125"/>
      <c r="CE203" s="125"/>
      <c r="CF203" s="125"/>
      <c r="CG203" s="125"/>
      <c r="CH203" s="125"/>
      <c r="CI203" s="125"/>
      <c r="CJ203" s="125"/>
      <c r="CK203" s="125"/>
      <c r="CL203" s="125"/>
      <c r="CM203" s="125"/>
      <c r="CN203" s="125"/>
      <c r="CO203" s="125"/>
      <c r="CP203" s="125"/>
      <c r="CQ203" s="125"/>
      <c r="CR203" s="125"/>
      <c r="CS203" s="125"/>
      <c r="CT203" s="125"/>
      <c r="CU203" s="125"/>
      <c r="CV203" s="125"/>
      <c r="CW203" s="125"/>
      <c r="CX203" s="125"/>
      <c r="CY203" s="125"/>
      <c r="EK203" s="125"/>
      <c r="EL203" s="125"/>
      <c r="EM203" s="125"/>
      <c r="EN203" s="125"/>
      <c r="EO203" s="125"/>
      <c r="EP203" s="125"/>
      <c r="EQ203" s="125"/>
      <c r="ER203" s="125"/>
      <c r="ES203" s="125"/>
      <c r="ET203" s="125"/>
      <c r="EU203" s="125"/>
      <c r="EV203" s="125"/>
      <c r="EW203" s="125"/>
      <c r="EX203" s="125"/>
      <c r="EY203" s="125"/>
      <c r="EZ203" s="125"/>
      <c r="FA203" s="125"/>
      <c r="FB203" s="125"/>
      <c r="FC203" s="125"/>
      <c r="FD203" s="125"/>
      <c r="FE203" s="125"/>
      <c r="FF203" s="125"/>
      <c r="FG203" s="125"/>
      <c r="FH203" s="125"/>
      <c r="FI203" s="125"/>
      <c r="FJ203" s="125"/>
      <c r="FK203" s="125"/>
      <c r="FL203" s="125"/>
      <c r="FM203" s="125"/>
      <c r="FN203" s="125"/>
      <c r="FO203" s="125"/>
      <c r="FP203" s="125"/>
      <c r="FQ203" s="125"/>
      <c r="FR203" s="125"/>
      <c r="FS203" s="125"/>
      <c r="FT203" s="125"/>
      <c r="FU203" s="125"/>
      <c r="FV203" s="125"/>
      <c r="FW203" s="125"/>
      <c r="FX203" s="125"/>
      <c r="FY203" s="125"/>
    </row>
    <row r="204" spans="1:181" ht="7.5" customHeight="1">
      <c r="A204" s="43"/>
      <c r="B204" s="103"/>
      <c r="C204" s="103"/>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43"/>
      <c r="BX204" s="43"/>
      <c r="BY204" s="125"/>
      <c r="BZ204" s="125"/>
      <c r="CA204" s="125"/>
      <c r="CB204" s="125"/>
      <c r="CC204" s="125"/>
      <c r="CD204" s="125"/>
      <c r="CE204" s="125"/>
      <c r="CF204" s="125"/>
      <c r="CG204" s="125"/>
      <c r="EK204" s="125"/>
      <c r="EL204" s="125"/>
      <c r="EM204" s="125"/>
      <c r="EN204" s="125"/>
      <c r="EO204" s="125"/>
      <c r="EP204" s="125"/>
      <c r="EQ204" s="125"/>
      <c r="ER204" s="125"/>
      <c r="ES204" s="125"/>
      <c r="ET204" s="125"/>
      <c r="EU204" s="125"/>
      <c r="EV204" s="125"/>
      <c r="EW204" s="125"/>
      <c r="EX204" s="125"/>
      <c r="EY204" s="125"/>
      <c r="EZ204" s="125"/>
      <c r="FA204" s="125"/>
      <c r="FB204" s="125"/>
      <c r="FC204" s="125"/>
      <c r="FD204" s="125"/>
      <c r="FE204" s="125"/>
      <c r="FF204" s="125"/>
      <c r="FG204" s="125"/>
      <c r="FH204" s="125"/>
      <c r="FI204" s="125"/>
      <c r="FJ204" s="125"/>
      <c r="FK204" s="125"/>
      <c r="FL204" s="125"/>
      <c r="FM204" s="125"/>
      <c r="FN204" s="125"/>
      <c r="FO204" s="125"/>
      <c r="FP204" s="125"/>
      <c r="FQ204" s="125"/>
      <c r="FR204" s="125"/>
      <c r="FS204" s="125"/>
      <c r="FT204" s="125"/>
      <c r="FU204" s="125"/>
      <c r="FV204" s="125"/>
      <c r="FW204" s="125"/>
      <c r="FX204" s="125"/>
      <c r="FY204" s="125"/>
    </row>
    <row r="205" spans="1:181" ht="7.5" customHeight="1">
      <c r="A205" s="43"/>
      <c r="B205" s="103"/>
      <c r="C205" s="103"/>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43"/>
      <c r="BX205" s="43"/>
      <c r="BY205" s="125"/>
      <c r="BZ205" s="125"/>
      <c r="CA205" s="125"/>
      <c r="CB205" s="125"/>
      <c r="CC205" s="125"/>
      <c r="CD205" s="125"/>
      <c r="CE205" s="125"/>
      <c r="CF205" s="125"/>
      <c r="CG205" s="125"/>
      <c r="EH205" s="125"/>
      <c r="EI205" s="125"/>
      <c r="EJ205" s="125"/>
      <c r="EK205" s="125"/>
      <c r="EL205" s="125"/>
      <c r="EM205" s="125"/>
      <c r="EN205" s="125"/>
      <c r="EO205" s="125"/>
      <c r="EP205" s="125"/>
      <c r="EQ205" s="125"/>
      <c r="ER205" s="125"/>
      <c r="ES205" s="125"/>
      <c r="ET205" s="125"/>
      <c r="EU205" s="125"/>
      <c r="EV205" s="125"/>
      <c r="EW205" s="125"/>
      <c r="EX205" s="125"/>
      <c r="EY205" s="125"/>
      <c r="EZ205" s="125"/>
      <c r="FA205" s="125"/>
      <c r="FB205" s="125"/>
      <c r="FC205" s="125"/>
      <c r="FD205" s="125"/>
      <c r="FE205" s="125"/>
      <c r="FF205" s="125"/>
      <c r="FG205" s="125"/>
      <c r="FH205" s="125"/>
      <c r="FI205" s="125"/>
      <c r="FJ205" s="125"/>
      <c r="FK205" s="125"/>
      <c r="FL205" s="125"/>
      <c r="FM205" s="125"/>
      <c r="FN205" s="125"/>
      <c r="FO205" s="125"/>
      <c r="FP205" s="125"/>
      <c r="FQ205" s="125"/>
      <c r="FR205" s="125"/>
      <c r="FS205" s="125"/>
      <c r="FT205" s="125"/>
      <c r="FU205" s="125"/>
      <c r="FV205" s="125"/>
      <c r="FW205" s="125"/>
      <c r="FX205" s="125"/>
      <c r="FY205" s="125"/>
    </row>
    <row r="206" spans="1:181" ht="7.5" customHeight="1">
      <c r="A206" s="43"/>
      <c r="B206" s="103"/>
      <c r="C206" s="103"/>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43"/>
      <c r="BX206" s="43"/>
      <c r="BY206" s="125"/>
      <c r="BZ206" s="125"/>
      <c r="CA206" s="125"/>
      <c r="CB206" s="125"/>
      <c r="CC206" s="125"/>
      <c r="CD206" s="125"/>
      <c r="CE206" s="125"/>
      <c r="CF206" s="125"/>
      <c r="CG206" s="125"/>
      <c r="CH206" s="125"/>
      <c r="CI206" s="125"/>
      <c r="CJ206" s="125"/>
      <c r="CK206" s="125"/>
      <c r="CL206" s="125"/>
      <c r="CM206" s="125"/>
      <c r="CN206" s="125"/>
      <c r="CO206" s="125"/>
      <c r="CP206" s="125"/>
      <c r="CQ206" s="125"/>
      <c r="CR206" s="125"/>
      <c r="CS206" s="125"/>
      <c r="CT206" s="125"/>
      <c r="CU206" s="125"/>
      <c r="CV206" s="125"/>
      <c r="CW206" s="125"/>
      <c r="CX206" s="125"/>
      <c r="CY206" s="125"/>
      <c r="EH206" s="125"/>
      <c r="EI206" s="125"/>
      <c r="EJ206" s="125"/>
      <c r="EK206" s="125"/>
      <c r="EL206" s="125"/>
      <c r="EM206" s="125"/>
      <c r="EN206" s="125"/>
      <c r="EO206" s="125"/>
      <c r="EP206" s="125"/>
      <c r="EQ206" s="125"/>
      <c r="ER206" s="125"/>
      <c r="ES206" s="125"/>
      <c r="ET206" s="125"/>
      <c r="EU206" s="125"/>
      <c r="EV206" s="125"/>
      <c r="EW206" s="125"/>
      <c r="EX206" s="125"/>
      <c r="EY206" s="125"/>
      <c r="EZ206" s="125"/>
      <c r="FA206" s="125"/>
      <c r="FB206" s="125"/>
      <c r="FC206" s="125"/>
      <c r="FD206" s="125"/>
      <c r="FE206" s="125"/>
      <c r="FF206" s="125"/>
      <c r="FG206" s="125"/>
      <c r="FH206" s="125"/>
      <c r="FI206" s="125"/>
      <c r="FJ206" s="125"/>
      <c r="FK206" s="125"/>
      <c r="FL206" s="125"/>
      <c r="FM206" s="125"/>
      <c r="FN206" s="125"/>
      <c r="FO206" s="125"/>
      <c r="FP206" s="125"/>
      <c r="FQ206" s="125"/>
      <c r="FR206" s="125"/>
      <c r="FS206" s="125"/>
      <c r="FT206" s="125"/>
      <c r="FU206" s="125"/>
      <c r="FV206" s="125"/>
      <c r="FW206" s="125"/>
      <c r="FX206" s="125"/>
      <c r="FY206" s="125"/>
    </row>
    <row r="207" spans="1:181" ht="7.5" customHeight="1">
      <c r="A207" s="43"/>
      <c r="B207" s="103"/>
      <c r="C207" s="103"/>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43"/>
      <c r="BX207" s="43"/>
      <c r="BY207" s="125"/>
      <c r="BZ207" s="125"/>
      <c r="CA207" s="125"/>
      <c r="CB207" s="125"/>
      <c r="CC207" s="125"/>
      <c r="CD207" s="125"/>
      <c r="CE207" s="125"/>
      <c r="CF207" s="125"/>
      <c r="CG207" s="125"/>
      <c r="CH207" s="125"/>
      <c r="CI207" s="125"/>
      <c r="CJ207" s="125"/>
      <c r="CK207" s="125"/>
      <c r="CL207" s="125"/>
      <c r="CM207" s="125"/>
      <c r="CN207" s="125"/>
      <c r="CO207" s="125"/>
      <c r="CP207" s="125"/>
      <c r="CQ207" s="125"/>
      <c r="CR207" s="125"/>
      <c r="CS207" s="125"/>
      <c r="CT207" s="125"/>
      <c r="CU207" s="125"/>
      <c r="CV207" s="125"/>
      <c r="CW207" s="125"/>
      <c r="CX207" s="125"/>
      <c r="CY207" s="125"/>
      <c r="EH207" s="125"/>
      <c r="EI207" s="125"/>
      <c r="EJ207" s="125"/>
      <c r="EK207" s="125"/>
      <c r="EL207" s="125"/>
      <c r="EM207" s="125"/>
      <c r="EN207" s="125"/>
      <c r="EO207" s="125"/>
      <c r="EP207" s="125"/>
      <c r="EQ207" s="125"/>
      <c r="ER207" s="125"/>
      <c r="ES207" s="125"/>
      <c r="ET207" s="125"/>
      <c r="EU207" s="125"/>
      <c r="EV207" s="125"/>
      <c r="EW207" s="125"/>
      <c r="EX207" s="125"/>
      <c r="EY207" s="125"/>
      <c r="EZ207" s="125"/>
      <c r="FA207" s="125"/>
      <c r="FB207" s="125"/>
      <c r="FC207" s="125"/>
      <c r="FD207" s="125"/>
      <c r="FE207" s="125"/>
      <c r="FF207" s="125"/>
      <c r="FG207" s="125"/>
      <c r="FH207" s="125"/>
      <c r="FI207" s="125"/>
      <c r="FJ207" s="125"/>
      <c r="FK207" s="125"/>
      <c r="FL207" s="125"/>
      <c r="FM207" s="125"/>
      <c r="FN207" s="125"/>
      <c r="FO207" s="125"/>
      <c r="FP207" s="125"/>
      <c r="FQ207" s="125"/>
      <c r="FR207" s="125"/>
      <c r="FS207" s="125"/>
      <c r="FT207" s="125"/>
      <c r="FU207" s="125"/>
      <c r="FV207" s="125"/>
      <c r="FW207" s="125"/>
      <c r="FX207" s="125"/>
      <c r="FY207" s="125"/>
    </row>
    <row r="208" spans="1:181" ht="7.5" customHeight="1">
      <c r="A208" s="43"/>
      <c r="B208" s="103"/>
      <c r="C208" s="103"/>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43"/>
      <c r="BX208" s="43"/>
      <c r="BY208" s="125"/>
      <c r="BZ208" s="125"/>
      <c r="CA208" s="125"/>
      <c r="CB208" s="125"/>
      <c r="CC208" s="125"/>
      <c r="CD208" s="125"/>
      <c r="CE208" s="125"/>
      <c r="CF208" s="125"/>
      <c r="CG208" s="125"/>
      <c r="CH208" s="125"/>
      <c r="CI208" s="125"/>
      <c r="CJ208" s="125"/>
      <c r="CK208" s="125"/>
      <c r="CL208" s="125"/>
      <c r="CM208" s="125"/>
      <c r="CN208" s="125"/>
      <c r="CO208" s="125"/>
      <c r="CP208" s="125"/>
      <c r="CQ208" s="125"/>
      <c r="CR208" s="125"/>
      <c r="CS208" s="125"/>
      <c r="CT208" s="125"/>
      <c r="CU208" s="125"/>
      <c r="CV208" s="125"/>
      <c r="CW208" s="125"/>
      <c r="CX208" s="125"/>
      <c r="CY208" s="125"/>
      <c r="EH208" s="125"/>
      <c r="EI208" s="125"/>
      <c r="EJ208" s="125"/>
      <c r="EK208" s="125"/>
      <c r="EL208" s="125"/>
      <c r="EM208" s="125"/>
      <c r="EN208" s="125"/>
      <c r="EO208" s="125"/>
      <c r="EP208" s="125"/>
      <c r="EQ208" s="125"/>
      <c r="ER208" s="125"/>
      <c r="ES208" s="125"/>
      <c r="ET208" s="125"/>
      <c r="EU208" s="125"/>
      <c r="EV208" s="125"/>
      <c r="EW208" s="125"/>
      <c r="EX208" s="125"/>
      <c r="EY208" s="125"/>
      <c r="EZ208" s="125"/>
      <c r="FA208" s="125"/>
      <c r="FB208" s="125"/>
      <c r="FC208" s="125"/>
      <c r="FD208" s="125"/>
      <c r="FE208" s="125"/>
      <c r="FF208" s="125"/>
      <c r="FG208" s="125"/>
      <c r="FH208" s="125"/>
      <c r="FI208" s="125"/>
      <c r="FJ208" s="125"/>
      <c r="FK208" s="125"/>
      <c r="FL208" s="125"/>
      <c r="FM208" s="125"/>
      <c r="FN208" s="125"/>
      <c r="FO208" s="125"/>
      <c r="FP208" s="125"/>
      <c r="FQ208" s="125"/>
      <c r="FR208" s="125"/>
      <c r="FS208" s="125"/>
      <c r="FT208" s="125"/>
      <c r="FU208" s="125"/>
      <c r="FV208" s="125"/>
      <c r="FW208" s="125"/>
      <c r="FX208" s="125"/>
      <c r="FY208" s="125"/>
    </row>
    <row r="209" spans="1:181" ht="7.5" customHeight="1">
      <c r="A209" s="43"/>
      <c r="B209" s="103"/>
      <c r="C209" s="103"/>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43"/>
      <c r="BX209" s="43"/>
      <c r="BY209" s="125"/>
      <c r="BZ209" s="125"/>
      <c r="CA209" s="125"/>
      <c r="CB209" s="125"/>
      <c r="CC209" s="125"/>
      <c r="CD209" s="125"/>
      <c r="CE209" s="125"/>
      <c r="CF209" s="125"/>
      <c r="CG209" s="125"/>
      <c r="CH209" s="125"/>
      <c r="CI209" s="125"/>
      <c r="CJ209" s="125"/>
      <c r="CK209" s="125"/>
      <c r="CL209" s="125"/>
      <c r="CM209" s="125"/>
      <c r="CN209" s="125"/>
      <c r="CO209" s="125"/>
      <c r="CP209" s="125"/>
      <c r="CQ209" s="125"/>
      <c r="CR209" s="125"/>
      <c r="CS209" s="125"/>
      <c r="CT209" s="125"/>
      <c r="CU209" s="125"/>
      <c r="CV209" s="125"/>
      <c r="CW209" s="125"/>
      <c r="CX209" s="125"/>
      <c r="CY209" s="125"/>
      <c r="EH209" s="125"/>
      <c r="EI209" s="125"/>
      <c r="EJ209" s="125"/>
      <c r="EK209" s="125"/>
      <c r="EL209" s="125"/>
      <c r="EM209" s="125"/>
      <c r="EN209" s="125"/>
      <c r="EO209" s="125"/>
      <c r="EP209" s="125"/>
      <c r="EQ209" s="125"/>
      <c r="ER209" s="125"/>
      <c r="ES209" s="125"/>
      <c r="ET209" s="125"/>
      <c r="EU209" s="125"/>
      <c r="EV209" s="125"/>
      <c r="EW209" s="125"/>
      <c r="EX209" s="125"/>
      <c r="EY209" s="125"/>
      <c r="EZ209" s="125"/>
      <c r="FA209" s="125"/>
      <c r="FB209" s="125"/>
      <c r="FC209" s="125"/>
      <c r="FD209" s="125"/>
      <c r="FE209" s="125"/>
      <c r="FF209" s="125"/>
      <c r="FG209" s="125"/>
      <c r="FH209" s="125"/>
      <c r="FI209" s="125"/>
      <c r="FJ209" s="125"/>
      <c r="FK209" s="125"/>
      <c r="FL209" s="125"/>
      <c r="FM209" s="125"/>
      <c r="FN209" s="125"/>
      <c r="FO209" s="125"/>
      <c r="FP209" s="125"/>
      <c r="FQ209" s="125"/>
      <c r="FR209" s="125"/>
      <c r="FS209" s="125"/>
      <c r="FT209" s="125"/>
      <c r="FU209" s="125"/>
      <c r="FV209" s="125"/>
      <c r="FW209" s="125"/>
      <c r="FX209" s="125"/>
      <c r="FY209" s="125"/>
    </row>
    <row r="210" spans="1:181" ht="7.5" customHeight="1">
      <c r="A210" s="43"/>
      <c r="B210" s="103"/>
      <c r="C210" s="103"/>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43"/>
      <c r="BX210" s="43"/>
      <c r="BY210" s="125"/>
      <c r="BZ210" s="125"/>
      <c r="CA210" s="125"/>
      <c r="CB210" s="125"/>
      <c r="CC210" s="125"/>
      <c r="CD210" s="125"/>
      <c r="CE210" s="125"/>
      <c r="CF210" s="125"/>
      <c r="CG210" s="125"/>
      <c r="CH210" s="125"/>
      <c r="CI210" s="125"/>
      <c r="CJ210" s="125"/>
      <c r="CK210" s="125"/>
      <c r="CL210" s="125"/>
      <c r="CM210" s="125"/>
      <c r="CN210" s="125"/>
      <c r="CO210" s="125"/>
      <c r="CP210" s="125"/>
      <c r="CQ210" s="125"/>
      <c r="CR210" s="125"/>
      <c r="CS210" s="125"/>
      <c r="CT210" s="125"/>
      <c r="CU210" s="125"/>
      <c r="CV210" s="125"/>
      <c r="CW210" s="125"/>
      <c r="CX210" s="125"/>
      <c r="CY210" s="125"/>
      <c r="EH210" s="125"/>
      <c r="EI210" s="125"/>
      <c r="EJ210" s="125"/>
      <c r="EK210" s="125"/>
      <c r="EL210" s="125"/>
      <c r="EM210" s="125"/>
      <c r="EN210" s="125"/>
      <c r="EO210" s="125"/>
      <c r="EP210" s="125"/>
      <c r="EQ210" s="125"/>
      <c r="ER210" s="125"/>
      <c r="ES210" s="125"/>
      <c r="ET210" s="125"/>
      <c r="EU210" s="125"/>
      <c r="EV210" s="125"/>
      <c r="EW210" s="125"/>
      <c r="EX210" s="125"/>
      <c r="EY210" s="125"/>
      <c r="EZ210" s="125"/>
      <c r="FA210" s="125"/>
      <c r="FB210" s="125"/>
      <c r="FC210" s="125"/>
      <c r="FD210" s="125"/>
      <c r="FE210" s="125"/>
      <c r="FF210" s="125"/>
      <c r="FG210" s="125"/>
      <c r="FH210" s="125"/>
      <c r="FI210" s="125"/>
      <c r="FJ210" s="125"/>
      <c r="FK210" s="125"/>
      <c r="FL210" s="125"/>
      <c r="FM210" s="125"/>
      <c r="FN210" s="125"/>
      <c r="FO210" s="125"/>
      <c r="FP210" s="125"/>
      <c r="FQ210" s="125"/>
      <c r="FR210" s="125"/>
      <c r="FS210" s="125"/>
      <c r="FT210" s="125"/>
      <c r="FU210" s="125"/>
      <c r="FV210" s="125"/>
      <c r="FW210" s="125"/>
      <c r="FX210" s="125"/>
      <c r="FY210" s="125"/>
    </row>
    <row r="211" spans="1:181" ht="7.5" customHeight="1">
      <c r="A211" s="43"/>
      <c r="B211" s="103"/>
      <c r="C211" s="103"/>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43"/>
      <c r="BX211" s="43"/>
      <c r="BY211" s="125"/>
      <c r="BZ211" s="125"/>
      <c r="CA211" s="125"/>
      <c r="CB211" s="125"/>
      <c r="CC211" s="125"/>
      <c r="CD211" s="125"/>
      <c r="CE211" s="125"/>
      <c r="CF211" s="125"/>
      <c r="CG211" s="125"/>
      <c r="CH211" s="125"/>
      <c r="CI211" s="125"/>
      <c r="CJ211" s="125"/>
      <c r="CK211" s="125"/>
      <c r="CL211" s="125"/>
      <c r="CM211" s="125"/>
      <c r="CN211" s="125"/>
      <c r="CO211" s="125"/>
      <c r="CP211" s="125"/>
      <c r="CQ211" s="125"/>
      <c r="CR211" s="125"/>
      <c r="CS211" s="125"/>
      <c r="CT211" s="125"/>
      <c r="CU211" s="125"/>
      <c r="CV211" s="125"/>
      <c r="CW211" s="125"/>
      <c r="CX211" s="125"/>
      <c r="CY211" s="125"/>
      <c r="EH211" s="125"/>
      <c r="EI211" s="125"/>
      <c r="EJ211" s="125"/>
      <c r="EK211" s="125"/>
      <c r="EL211" s="125"/>
      <c r="EM211" s="125"/>
      <c r="EN211" s="125"/>
      <c r="EO211" s="125"/>
      <c r="EP211" s="125"/>
      <c r="EQ211" s="125"/>
      <c r="ER211" s="125"/>
      <c r="ES211" s="125"/>
      <c r="ET211" s="125"/>
      <c r="EU211" s="125"/>
      <c r="EV211" s="125"/>
      <c r="EW211" s="125"/>
      <c r="EX211" s="125"/>
      <c r="EY211" s="125"/>
      <c r="EZ211" s="125"/>
      <c r="FA211" s="125"/>
      <c r="FB211" s="125"/>
      <c r="FC211" s="125"/>
      <c r="FD211" s="125"/>
      <c r="FE211" s="125"/>
      <c r="FF211" s="125"/>
      <c r="FG211" s="125"/>
      <c r="FH211" s="125"/>
      <c r="FI211" s="125"/>
      <c r="FJ211" s="125"/>
      <c r="FK211" s="125"/>
      <c r="FL211" s="125"/>
      <c r="FM211" s="125"/>
      <c r="FN211" s="125"/>
      <c r="FO211" s="125"/>
      <c r="FP211" s="125"/>
      <c r="FQ211" s="125"/>
      <c r="FR211" s="125"/>
      <c r="FS211" s="125"/>
      <c r="FT211" s="125"/>
      <c r="FU211" s="125"/>
      <c r="FV211" s="125"/>
      <c r="FW211" s="125"/>
      <c r="FX211" s="125"/>
      <c r="FY211" s="125"/>
    </row>
    <row r="212" spans="1:181" ht="7.5" customHeight="1">
      <c r="A212" s="43"/>
      <c r="B212" s="103"/>
      <c r="C212" s="103"/>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43"/>
      <c r="BX212" s="43"/>
      <c r="BY212" s="125"/>
      <c r="BZ212" s="125"/>
      <c r="CA212" s="125"/>
      <c r="CB212" s="125"/>
      <c r="CC212" s="125"/>
      <c r="CD212" s="125"/>
      <c r="CE212" s="125"/>
      <c r="CF212" s="125"/>
      <c r="CG212" s="125"/>
      <c r="CH212" s="125"/>
      <c r="CI212" s="125"/>
      <c r="CJ212" s="125"/>
      <c r="CK212" s="125"/>
      <c r="CL212" s="125"/>
      <c r="CM212" s="125"/>
      <c r="CN212" s="125"/>
      <c r="CO212" s="125"/>
      <c r="CP212" s="125"/>
      <c r="CQ212" s="125"/>
      <c r="CR212" s="125"/>
      <c r="CS212" s="125"/>
      <c r="CT212" s="125"/>
      <c r="CU212" s="125"/>
      <c r="CV212" s="125"/>
      <c r="CW212" s="125"/>
      <c r="CX212" s="125"/>
      <c r="CY212" s="125"/>
      <c r="EH212" s="125"/>
      <c r="EI212" s="125"/>
      <c r="EJ212" s="125"/>
      <c r="EK212" s="125"/>
      <c r="EL212" s="125"/>
      <c r="EM212" s="125"/>
      <c r="EN212" s="125"/>
      <c r="EO212" s="125"/>
      <c r="EP212" s="125"/>
      <c r="EQ212" s="125"/>
      <c r="ER212" s="125"/>
      <c r="ES212" s="125"/>
      <c r="ET212" s="125"/>
      <c r="EU212" s="125"/>
      <c r="EV212" s="125"/>
      <c r="EW212" s="125"/>
      <c r="EX212" s="125"/>
      <c r="EY212" s="125"/>
      <c r="EZ212" s="125"/>
      <c r="FA212" s="125"/>
      <c r="FB212" s="125"/>
      <c r="FC212" s="125"/>
      <c r="FD212" s="125"/>
      <c r="FE212" s="125"/>
      <c r="FF212" s="125"/>
      <c r="FG212" s="125"/>
      <c r="FH212" s="125"/>
      <c r="FI212" s="125"/>
      <c r="FJ212" s="125"/>
      <c r="FK212" s="125"/>
      <c r="FL212" s="125"/>
      <c r="FM212" s="125"/>
      <c r="FN212" s="125"/>
      <c r="FO212" s="125"/>
      <c r="FP212" s="125"/>
      <c r="FQ212" s="125"/>
      <c r="FR212" s="125"/>
      <c r="FS212" s="125"/>
      <c r="FT212" s="125"/>
      <c r="FU212" s="125"/>
      <c r="FV212" s="125"/>
      <c r="FW212" s="125"/>
      <c r="FX212" s="125"/>
      <c r="FY212" s="125"/>
    </row>
    <row r="213" spans="1:181" ht="7.5" customHeight="1">
      <c r="A213" s="43"/>
      <c r="B213" s="103"/>
      <c r="C213" s="103"/>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43"/>
      <c r="BX213" s="43"/>
      <c r="BY213" s="125"/>
      <c r="BZ213" s="125"/>
      <c r="CA213" s="125"/>
      <c r="CB213" s="125"/>
      <c r="CC213" s="125"/>
      <c r="CD213" s="125"/>
      <c r="CE213" s="125"/>
      <c r="CF213" s="125"/>
      <c r="CG213" s="125"/>
      <c r="CH213" s="125"/>
      <c r="CI213" s="125"/>
      <c r="CJ213" s="125"/>
      <c r="CK213" s="125"/>
      <c r="CL213" s="125"/>
      <c r="CM213" s="125"/>
      <c r="CN213" s="125"/>
      <c r="CO213" s="125"/>
      <c r="CP213" s="125"/>
      <c r="CQ213" s="125"/>
      <c r="CR213" s="125"/>
      <c r="CS213" s="125"/>
      <c r="CT213" s="125"/>
      <c r="CU213" s="125"/>
      <c r="CV213" s="125"/>
      <c r="CW213" s="125"/>
      <c r="CX213" s="125"/>
      <c r="CY213" s="125"/>
      <c r="EH213" s="125"/>
      <c r="EI213" s="125"/>
      <c r="EJ213" s="125"/>
      <c r="EK213" s="125"/>
      <c r="EL213" s="125"/>
      <c r="EM213" s="125"/>
      <c r="EN213" s="125"/>
      <c r="EO213" s="125"/>
      <c r="EP213" s="125"/>
      <c r="EQ213" s="125"/>
      <c r="ER213" s="125"/>
      <c r="ES213" s="125"/>
      <c r="ET213" s="125"/>
      <c r="EU213" s="125"/>
      <c r="EV213" s="125"/>
      <c r="EW213" s="125"/>
      <c r="EX213" s="125"/>
      <c r="EY213" s="125"/>
      <c r="EZ213" s="125"/>
      <c r="FA213" s="125"/>
      <c r="FB213" s="125"/>
      <c r="FC213" s="125"/>
      <c r="FD213" s="125"/>
      <c r="FE213" s="125"/>
      <c r="FF213" s="125"/>
      <c r="FG213" s="125"/>
      <c r="FH213" s="125"/>
      <c r="FI213" s="125"/>
      <c r="FJ213" s="125"/>
      <c r="FK213" s="125"/>
      <c r="FL213" s="125"/>
      <c r="FM213" s="125"/>
      <c r="FN213" s="125"/>
      <c r="FO213" s="125"/>
      <c r="FP213" s="125"/>
      <c r="FQ213" s="125"/>
      <c r="FR213" s="125"/>
      <c r="FS213" s="125"/>
      <c r="FT213" s="125"/>
      <c r="FU213" s="125"/>
      <c r="FV213" s="125"/>
      <c r="FW213" s="125"/>
      <c r="FX213" s="125"/>
      <c r="FY213" s="125"/>
    </row>
    <row r="214" spans="1:181" ht="7.5" customHeight="1">
      <c r="A214" s="43"/>
      <c r="B214" s="103"/>
      <c r="C214" s="103"/>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43"/>
      <c r="BX214" s="43"/>
      <c r="BY214" s="125"/>
      <c r="BZ214" s="125"/>
      <c r="CA214" s="125"/>
      <c r="CB214" s="125"/>
      <c r="CC214" s="125"/>
      <c r="CD214" s="125"/>
      <c r="CE214" s="125"/>
      <c r="CF214" s="125"/>
      <c r="CG214" s="125"/>
      <c r="CH214" s="125"/>
      <c r="CI214" s="125"/>
      <c r="CJ214" s="125"/>
      <c r="CK214" s="125"/>
      <c r="CL214" s="125"/>
      <c r="CM214" s="125"/>
      <c r="CN214" s="125"/>
      <c r="CO214" s="125"/>
      <c r="CP214" s="125"/>
      <c r="CQ214" s="125"/>
      <c r="CR214" s="125"/>
      <c r="CS214" s="125"/>
      <c r="CT214" s="125"/>
      <c r="CU214" s="125"/>
      <c r="CV214" s="125"/>
      <c r="CW214" s="125"/>
      <c r="CX214" s="125"/>
      <c r="CY214" s="125"/>
      <c r="EH214" s="125"/>
      <c r="EI214" s="125"/>
      <c r="EJ214" s="125"/>
      <c r="EK214" s="125"/>
      <c r="EL214" s="125"/>
      <c r="EM214" s="125"/>
      <c r="EN214" s="125"/>
      <c r="EO214" s="125"/>
      <c r="EP214" s="125"/>
      <c r="EQ214" s="125"/>
      <c r="ER214" s="125"/>
      <c r="ES214" s="125"/>
      <c r="ET214" s="125"/>
      <c r="EU214" s="125"/>
      <c r="EV214" s="125"/>
      <c r="EW214" s="125"/>
      <c r="EX214" s="125"/>
      <c r="EY214" s="125"/>
      <c r="EZ214" s="125"/>
      <c r="FA214" s="125"/>
      <c r="FB214" s="125"/>
      <c r="FC214" s="125"/>
      <c r="FD214" s="125"/>
      <c r="FE214" s="125"/>
      <c r="FF214" s="125"/>
      <c r="FG214" s="125"/>
      <c r="FH214" s="125"/>
      <c r="FI214" s="125"/>
      <c r="FJ214" s="125"/>
      <c r="FK214" s="125"/>
      <c r="FL214" s="125"/>
      <c r="FM214" s="125"/>
      <c r="FN214" s="125"/>
      <c r="FO214" s="125"/>
      <c r="FP214" s="125"/>
      <c r="FQ214" s="125"/>
      <c r="FR214" s="125"/>
      <c r="FS214" s="125"/>
      <c r="FT214" s="125"/>
      <c r="FU214" s="125"/>
      <c r="FV214" s="125"/>
      <c r="FW214" s="125"/>
      <c r="FX214" s="125"/>
      <c r="FY214" s="125"/>
    </row>
    <row r="215" spans="1:181" ht="7.5" customHeight="1">
      <c r="A215" s="43"/>
      <c r="B215" s="103"/>
      <c r="C215" s="103"/>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43"/>
      <c r="BX215" s="43"/>
      <c r="BY215" s="125"/>
      <c r="BZ215" s="125"/>
      <c r="CA215" s="125"/>
      <c r="CB215" s="125"/>
      <c r="CC215" s="125"/>
      <c r="CD215" s="125"/>
      <c r="CE215" s="125"/>
      <c r="CF215" s="125"/>
      <c r="CG215" s="125"/>
      <c r="CH215" s="125"/>
      <c r="CI215" s="125"/>
      <c r="CJ215" s="125"/>
      <c r="CK215" s="125"/>
      <c r="CL215" s="125"/>
      <c r="CM215" s="125"/>
      <c r="CN215" s="125"/>
      <c r="CO215" s="125"/>
      <c r="CP215" s="125"/>
      <c r="CQ215" s="125"/>
      <c r="CR215" s="125"/>
      <c r="CS215" s="125"/>
      <c r="CT215" s="125"/>
      <c r="CU215" s="125"/>
      <c r="CV215" s="125"/>
      <c r="CW215" s="125"/>
      <c r="CX215" s="125"/>
      <c r="CY215" s="125"/>
      <c r="EH215" s="125"/>
      <c r="EI215" s="125"/>
      <c r="EJ215" s="125"/>
      <c r="EK215" s="125"/>
      <c r="EL215" s="125"/>
      <c r="EM215" s="125"/>
      <c r="EN215" s="125"/>
      <c r="EO215" s="125"/>
      <c r="EP215" s="125"/>
      <c r="EQ215" s="125"/>
      <c r="ER215" s="125"/>
      <c r="ES215" s="125"/>
      <c r="ET215" s="125"/>
      <c r="EU215" s="125"/>
      <c r="EV215" s="125"/>
      <c r="EW215" s="125"/>
      <c r="EX215" s="125"/>
      <c r="EY215" s="125"/>
      <c r="EZ215" s="125"/>
      <c r="FA215" s="125"/>
      <c r="FB215" s="125"/>
      <c r="FC215" s="125"/>
      <c r="FD215" s="125"/>
      <c r="FE215" s="125"/>
      <c r="FF215" s="125"/>
      <c r="FG215" s="125"/>
      <c r="FH215" s="125"/>
      <c r="FI215" s="125"/>
      <c r="FJ215" s="125"/>
      <c r="FK215" s="125"/>
      <c r="FL215" s="125"/>
      <c r="FM215" s="125"/>
      <c r="FN215" s="125"/>
      <c r="FO215" s="125"/>
      <c r="FP215" s="125"/>
      <c r="FQ215" s="125"/>
      <c r="FR215" s="125"/>
      <c r="FS215" s="125"/>
      <c r="FT215" s="125"/>
      <c r="FU215" s="125"/>
      <c r="FV215" s="125"/>
      <c r="FW215" s="125"/>
      <c r="FX215" s="125"/>
      <c r="FY215" s="125"/>
    </row>
    <row r="216" spans="1:181" ht="7.5" customHeight="1">
      <c r="A216" s="43"/>
      <c r="B216" s="103"/>
      <c r="C216" s="103"/>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43"/>
      <c r="BX216" s="43"/>
      <c r="BY216" s="125"/>
      <c r="BZ216" s="125"/>
      <c r="CA216" s="125"/>
      <c r="CB216" s="125"/>
      <c r="CC216" s="125"/>
      <c r="CD216" s="125"/>
      <c r="CE216" s="125"/>
      <c r="CF216" s="125"/>
      <c r="CG216" s="125"/>
      <c r="CH216" s="125"/>
      <c r="CI216" s="125"/>
      <c r="CJ216" s="125"/>
      <c r="CK216" s="125"/>
      <c r="CL216" s="125"/>
      <c r="CM216" s="125"/>
      <c r="CN216" s="125"/>
      <c r="CO216" s="125"/>
      <c r="CP216" s="125"/>
      <c r="CQ216" s="125"/>
      <c r="CR216" s="125"/>
      <c r="CS216" s="125"/>
      <c r="CT216" s="125"/>
      <c r="CU216" s="125"/>
      <c r="CV216" s="125"/>
      <c r="CW216" s="125"/>
      <c r="CX216" s="125"/>
      <c r="CY216" s="125"/>
      <c r="EH216" s="125"/>
      <c r="EI216" s="125"/>
      <c r="EJ216" s="125"/>
      <c r="EK216" s="125"/>
      <c r="EL216" s="125"/>
      <c r="EM216" s="125"/>
      <c r="EN216" s="125"/>
      <c r="EO216" s="125"/>
      <c r="EP216" s="125"/>
      <c r="EQ216" s="125"/>
      <c r="ER216" s="125"/>
      <c r="ES216" s="125"/>
      <c r="ET216" s="125"/>
      <c r="EU216" s="125"/>
      <c r="EV216" s="125"/>
      <c r="EW216" s="125"/>
      <c r="EX216" s="125"/>
      <c r="EY216" s="125"/>
      <c r="EZ216" s="125"/>
      <c r="FA216" s="125"/>
      <c r="FB216" s="125"/>
      <c r="FC216" s="125"/>
      <c r="FD216" s="125"/>
      <c r="FE216" s="125"/>
      <c r="FF216" s="125"/>
      <c r="FG216" s="125"/>
      <c r="FH216" s="125"/>
      <c r="FI216" s="125"/>
      <c r="FJ216" s="125"/>
      <c r="FK216" s="125"/>
      <c r="FL216" s="125"/>
      <c r="FM216" s="125"/>
      <c r="FN216" s="125"/>
      <c r="FO216" s="125"/>
      <c r="FP216" s="125"/>
      <c r="FQ216" s="125"/>
      <c r="FR216" s="125"/>
      <c r="FS216" s="125"/>
      <c r="FT216" s="125"/>
      <c r="FU216" s="125"/>
      <c r="FV216" s="125"/>
      <c r="FW216" s="125"/>
      <c r="FX216" s="125"/>
      <c r="FY216" s="125"/>
    </row>
    <row r="217" spans="1:181" ht="7.5" customHeight="1">
      <c r="A217" s="43"/>
      <c r="B217" s="103"/>
      <c r="C217" s="103"/>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43"/>
      <c r="BX217" s="43"/>
      <c r="BY217" s="125"/>
      <c r="BZ217" s="125"/>
      <c r="CA217" s="125"/>
      <c r="CB217" s="125"/>
      <c r="CC217" s="125"/>
      <c r="CD217" s="125"/>
      <c r="CE217" s="125"/>
      <c r="CF217" s="125"/>
      <c r="CG217" s="125"/>
      <c r="CH217" s="125"/>
      <c r="CI217" s="125"/>
      <c r="CJ217" s="125"/>
      <c r="CK217" s="125"/>
      <c r="CL217" s="125"/>
      <c r="CM217" s="125"/>
      <c r="CN217" s="125"/>
      <c r="CO217" s="125"/>
      <c r="CP217" s="125"/>
      <c r="CQ217" s="125"/>
      <c r="CR217" s="125"/>
      <c r="CS217" s="125"/>
      <c r="CT217" s="125"/>
      <c r="CU217" s="125"/>
      <c r="CV217" s="125"/>
      <c r="CW217" s="125"/>
      <c r="CX217" s="125"/>
      <c r="CY217" s="125"/>
      <c r="EH217" s="125"/>
      <c r="EI217" s="125"/>
      <c r="EJ217" s="125"/>
      <c r="EK217" s="125"/>
      <c r="EL217" s="125"/>
      <c r="EM217" s="125"/>
      <c r="EN217" s="125"/>
      <c r="EO217" s="125"/>
      <c r="EP217" s="125"/>
      <c r="EQ217" s="125"/>
      <c r="ER217" s="125"/>
      <c r="ES217" s="125"/>
      <c r="ET217" s="125"/>
      <c r="EU217" s="125"/>
      <c r="EV217" s="125"/>
      <c r="EW217" s="125"/>
      <c r="EX217" s="125"/>
      <c r="EY217" s="125"/>
      <c r="EZ217" s="125"/>
      <c r="FA217" s="125"/>
      <c r="FB217" s="125"/>
      <c r="FC217" s="125"/>
      <c r="FD217" s="125"/>
      <c r="FE217" s="125"/>
      <c r="FF217" s="125"/>
      <c r="FG217" s="125"/>
      <c r="FH217" s="125"/>
      <c r="FI217" s="125"/>
      <c r="FJ217" s="125"/>
      <c r="FK217" s="125"/>
      <c r="FL217" s="125"/>
      <c r="FM217" s="125"/>
      <c r="FN217" s="125"/>
      <c r="FO217" s="125"/>
      <c r="FP217" s="125"/>
      <c r="FQ217" s="125"/>
      <c r="FR217" s="125"/>
      <c r="FS217" s="125"/>
      <c r="FT217" s="125"/>
      <c r="FU217" s="125"/>
      <c r="FV217" s="125"/>
      <c r="FW217" s="125"/>
      <c r="FX217" s="125"/>
      <c r="FY217" s="125"/>
    </row>
    <row r="218" spans="1:181" ht="7.5" customHeight="1">
      <c r="A218" s="43"/>
      <c r="B218" s="103"/>
      <c r="C218" s="103"/>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43"/>
      <c r="BX218" s="43"/>
      <c r="BY218" s="125"/>
      <c r="BZ218" s="125"/>
      <c r="CA218" s="125"/>
      <c r="CB218" s="125"/>
      <c r="CC218" s="125"/>
      <c r="CD218" s="125"/>
      <c r="CE218" s="125"/>
      <c r="CF218" s="125"/>
      <c r="CG218" s="125"/>
      <c r="CH218" s="125"/>
      <c r="CI218" s="125"/>
      <c r="CJ218" s="125"/>
      <c r="CK218" s="125"/>
      <c r="CL218" s="125"/>
      <c r="CM218" s="125"/>
      <c r="CN218" s="125"/>
      <c r="CO218" s="125"/>
      <c r="CP218" s="125"/>
      <c r="CQ218" s="125"/>
      <c r="CR218" s="125"/>
      <c r="CS218" s="125"/>
      <c r="CT218" s="125"/>
      <c r="CU218" s="125"/>
      <c r="CV218" s="125"/>
      <c r="CW218" s="125"/>
      <c r="CX218" s="125"/>
      <c r="CY218" s="125"/>
      <c r="CZ218" s="125"/>
      <c r="DA218" s="125"/>
      <c r="DB218" s="125"/>
      <c r="DC218" s="125"/>
      <c r="DD218" s="125"/>
      <c r="DE218" s="125"/>
      <c r="DF218" s="125"/>
      <c r="DG218" s="125"/>
      <c r="DH218" s="125"/>
      <c r="DI218" s="125"/>
      <c r="DJ218" s="125"/>
      <c r="DK218" s="125"/>
      <c r="DL218" s="125"/>
      <c r="DM218" s="125"/>
      <c r="DN218" s="125"/>
      <c r="DO218" s="125"/>
      <c r="DP218" s="125"/>
      <c r="DQ218" s="125"/>
      <c r="DR218" s="125"/>
      <c r="DS218" s="125"/>
      <c r="DT218" s="125"/>
      <c r="DU218" s="125"/>
      <c r="DV218" s="125"/>
      <c r="DW218" s="125"/>
      <c r="DX218" s="125"/>
      <c r="DY218" s="125"/>
      <c r="DZ218" s="125"/>
      <c r="EA218" s="125"/>
      <c r="EB218" s="125"/>
      <c r="EC218" s="125"/>
      <c r="ED218" s="125"/>
      <c r="EE218" s="125"/>
      <c r="EF218" s="125"/>
      <c r="EG218" s="125"/>
      <c r="EH218" s="125"/>
      <c r="EI218" s="125"/>
      <c r="EJ218" s="125"/>
      <c r="EK218" s="125"/>
      <c r="EL218" s="125"/>
      <c r="EM218" s="125"/>
      <c r="EN218" s="125"/>
      <c r="EO218" s="125"/>
      <c r="EP218" s="125"/>
      <c r="EQ218" s="125"/>
      <c r="ER218" s="125"/>
      <c r="ES218" s="125"/>
      <c r="ET218" s="125"/>
      <c r="EU218" s="125"/>
      <c r="EV218" s="125"/>
      <c r="EW218" s="125"/>
      <c r="EX218" s="125"/>
      <c r="EY218" s="125"/>
      <c r="EZ218" s="125"/>
      <c r="FA218" s="125"/>
      <c r="FB218" s="125"/>
      <c r="FC218" s="125"/>
      <c r="FD218" s="125"/>
      <c r="FE218" s="125"/>
      <c r="FF218" s="125"/>
      <c r="FG218" s="125"/>
      <c r="FH218" s="125"/>
      <c r="FI218" s="125"/>
      <c r="FJ218" s="125"/>
      <c r="FK218" s="125"/>
      <c r="FL218" s="125"/>
      <c r="FM218" s="125"/>
      <c r="FN218" s="125"/>
      <c r="FO218" s="125"/>
      <c r="FP218" s="125"/>
      <c r="FQ218" s="125"/>
      <c r="FR218" s="125"/>
      <c r="FS218" s="125"/>
      <c r="FT218" s="125"/>
      <c r="FU218" s="125"/>
      <c r="FV218" s="125"/>
      <c r="FW218" s="125"/>
      <c r="FX218" s="125"/>
      <c r="FY218" s="125"/>
    </row>
    <row r="219" spans="1:181" ht="7.5" customHeight="1">
      <c r="A219" s="43"/>
      <c r="B219" s="103"/>
      <c r="C219" s="103"/>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43"/>
      <c r="BX219" s="43"/>
      <c r="BY219" s="125"/>
      <c r="BZ219" s="125"/>
      <c r="CA219" s="125"/>
      <c r="CB219" s="125"/>
      <c r="CC219" s="125"/>
      <c r="CD219" s="125"/>
      <c r="CE219" s="125"/>
      <c r="CF219" s="125"/>
      <c r="CG219" s="125"/>
      <c r="CH219" s="125"/>
      <c r="CI219" s="125"/>
      <c r="CJ219" s="125"/>
      <c r="CK219" s="125"/>
      <c r="CL219" s="125"/>
      <c r="CM219" s="125"/>
      <c r="CN219" s="125"/>
      <c r="CO219" s="125"/>
      <c r="CP219" s="125"/>
      <c r="CQ219" s="125"/>
      <c r="CR219" s="125"/>
      <c r="CS219" s="125"/>
      <c r="CT219" s="125"/>
      <c r="CU219" s="125"/>
      <c r="CV219" s="125"/>
      <c r="CW219" s="125"/>
      <c r="CX219" s="125"/>
      <c r="CY219" s="125"/>
      <c r="CZ219" s="125"/>
      <c r="DA219" s="125"/>
      <c r="DB219" s="125"/>
      <c r="DC219" s="125"/>
      <c r="DD219" s="125"/>
      <c r="DE219" s="125"/>
      <c r="DF219" s="125"/>
      <c r="DG219" s="125"/>
      <c r="DH219" s="125"/>
      <c r="DI219" s="125"/>
      <c r="DJ219" s="125"/>
      <c r="DK219" s="125"/>
      <c r="DL219" s="125"/>
      <c r="DM219" s="125"/>
      <c r="DN219" s="125"/>
      <c r="DO219" s="125"/>
      <c r="DP219" s="125"/>
      <c r="DQ219" s="125"/>
      <c r="DR219" s="125"/>
      <c r="DS219" s="125"/>
      <c r="DT219" s="125"/>
      <c r="DU219" s="125"/>
      <c r="DV219" s="125"/>
      <c r="DW219" s="125"/>
      <c r="DX219" s="125"/>
      <c r="DY219" s="125"/>
      <c r="DZ219" s="125"/>
      <c r="EA219" s="125"/>
      <c r="EB219" s="125"/>
      <c r="EC219" s="125"/>
      <c r="ED219" s="125"/>
      <c r="EE219" s="125"/>
      <c r="EF219" s="125"/>
      <c r="EG219" s="125"/>
      <c r="EH219" s="125"/>
      <c r="EI219" s="125"/>
      <c r="EJ219" s="125"/>
      <c r="EK219" s="125"/>
      <c r="EL219" s="125"/>
      <c r="EM219" s="125"/>
      <c r="EN219" s="125"/>
      <c r="EO219" s="125"/>
      <c r="EP219" s="125"/>
      <c r="EQ219" s="125"/>
      <c r="ER219" s="125"/>
      <c r="ES219" s="125"/>
      <c r="ET219" s="125"/>
      <c r="EU219" s="125"/>
      <c r="EV219" s="125"/>
      <c r="EW219" s="125"/>
      <c r="EX219" s="125"/>
      <c r="EY219" s="125"/>
      <c r="EZ219" s="125"/>
      <c r="FA219" s="125"/>
      <c r="FB219" s="125"/>
      <c r="FC219" s="125"/>
      <c r="FD219" s="125"/>
      <c r="FE219" s="125"/>
      <c r="FF219" s="125"/>
      <c r="FG219" s="125"/>
      <c r="FH219" s="125"/>
      <c r="FI219" s="125"/>
      <c r="FJ219" s="125"/>
      <c r="FK219" s="125"/>
      <c r="FL219" s="125"/>
      <c r="FM219" s="125"/>
      <c r="FN219" s="125"/>
      <c r="FO219" s="125"/>
      <c r="FP219" s="125"/>
      <c r="FQ219" s="125"/>
      <c r="FR219" s="125"/>
      <c r="FS219" s="125"/>
      <c r="FT219" s="125"/>
      <c r="FU219" s="125"/>
      <c r="FV219" s="125"/>
      <c r="FW219" s="125"/>
      <c r="FX219" s="125"/>
      <c r="FY219" s="125"/>
    </row>
    <row r="220" spans="1:181" ht="7.5" customHeight="1">
      <c r="A220" s="43"/>
      <c r="B220" s="103"/>
      <c r="C220" s="103"/>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43"/>
      <c r="BX220" s="43"/>
      <c r="BY220" s="125"/>
      <c r="BZ220" s="125"/>
      <c r="CA220" s="125"/>
      <c r="CB220" s="125"/>
      <c r="CC220" s="125"/>
      <c r="CD220" s="125"/>
      <c r="CE220" s="125"/>
      <c r="CF220" s="125"/>
      <c r="CG220" s="125"/>
      <c r="CH220" s="125"/>
      <c r="CI220" s="125"/>
      <c r="CJ220" s="125"/>
      <c r="CK220" s="125"/>
      <c r="CL220" s="125"/>
      <c r="CM220" s="125"/>
      <c r="CN220" s="125"/>
      <c r="CO220" s="125"/>
      <c r="CP220" s="125"/>
      <c r="CQ220" s="125"/>
      <c r="CR220" s="125"/>
      <c r="CS220" s="125"/>
      <c r="CT220" s="125"/>
      <c r="CU220" s="125"/>
      <c r="CV220" s="125"/>
      <c r="CW220" s="125"/>
      <c r="CX220" s="125"/>
      <c r="CY220" s="125"/>
      <c r="CZ220" s="125"/>
      <c r="DA220" s="125"/>
      <c r="DB220" s="125"/>
      <c r="DC220" s="125"/>
      <c r="DD220" s="125"/>
      <c r="DE220" s="125"/>
      <c r="DF220" s="125"/>
      <c r="DG220" s="125"/>
      <c r="DH220" s="125"/>
      <c r="DI220" s="125"/>
      <c r="DJ220" s="125"/>
      <c r="DK220" s="125"/>
      <c r="DL220" s="125"/>
      <c r="DM220" s="125"/>
      <c r="DN220" s="125"/>
      <c r="DO220" s="125"/>
      <c r="DP220" s="125"/>
      <c r="DQ220" s="125"/>
      <c r="DR220" s="125"/>
      <c r="DS220" s="125"/>
      <c r="DT220" s="125"/>
      <c r="DU220" s="125"/>
      <c r="DV220" s="125"/>
      <c r="DW220" s="125"/>
      <c r="DX220" s="125"/>
      <c r="DY220" s="125"/>
      <c r="DZ220" s="125"/>
      <c r="EA220" s="125"/>
      <c r="EB220" s="125"/>
      <c r="EC220" s="125"/>
      <c r="ED220" s="125"/>
      <c r="EE220" s="125"/>
      <c r="EF220" s="125"/>
      <c r="EG220" s="125"/>
      <c r="EH220" s="125"/>
      <c r="EI220" s="125"/>
      <c r="EJ220" s="125"/>
      <c r="EK220" s="125"/>
      <c r="EL220" s="125"/>
      <c r="EM220" s="125"/>
      <c r="EN220" s="125"/>
      <c r="EO220" s="125"/>
      <c r="EP220" s="125"/>
      <c r="EQ220" s="125"/>
      <c r="ER220" s="125"/>
      <c r="ES220" s="125"/>
      <c r="ET220" s="125"/>
      <c r="EU220" s="125"/>
      <c r="EV220" s="125"/>
      <c r="EW220" s="125"/>
      <c r="EX220" s="125"/>
      <c r="EY220" s="125"/>
      <c r="EZ220" s="125"/>
      <c r="FA220" s="125"/>
      <c r="FB220" s="125"/>
      <c r="FC220" s="125"/>
      <c r="FD220" s="125"/>
      <c r="FE220" s="125"/>
      <c r="FF220" s="125"/>
      <c r="FG220" s="125"/>
      <c r="FH220" s="125"/>
      <c r="FI220" s="125"/>
      <c r="FJ220" s="125"/>
      <c r="FK220" s="125"/>
      <c r="FL220" s="125"/>
      <c r="FM220" s="125"/>
      <c r="FN220" s="125"/>
      <c r="FO220" s="125"/>
      <c r="FP220" s="125"/>
      <c r="FQ220" s="125"/>
      <c r="FR220" s="125"/>
      <c r="FS220" s="125"/>
      <c r="FT220" s="125"/>
      <c r="FU220" s="125"/>
      <c r="FV220" s="125"/>
      <c r="FW220" s="125"/>
      <c r="FX220" s="125"/>
      <c r="FY220" s="125"/>
    </row>
    <row r="221" spans="1:181" ht="7.5" customHeight="1">
      <c r="A221" s="43"/>
      <c r="B221" s="103"/>
      <c r="C221" s="103"/>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43"/>
      <c r="BX221" s="43"/>
      <c r="BY221" s="125"/>
      <c r="BZ221" s="125"/>
      <c r="CA221" s="125"/>
      <c r="CB221" s="125"/>
      <c r="CC221" s="125"/>
      <c r="CD221" s="125"/>
      <c r="CE221" s="125"/>
      <c r="CF221" s="125"/>
      <c r="CG221" s="125"/>
      <c r="CH221" s="125"/>
      <c r="CI221" s="125"/>
      <c r="CJ221" s="125"/>
      <c r="CK221" s="125"/>
      <c r="CL221" s="125"/>
      <c r="CM221" s="125"/>
      <c r="CN221" s="125"/>
      <c r="CO221" s="125"/>
      <c r="CP221" s="125"/>
      <c r="CQ221" s="125"/>
      <c r="CR221" s="125"/>
      <c r="CS221" s="125"/>
      <c r="CT221" s="125"/>
      <c r="CU221" s="125"/>
      <c r="CV221" s="125"/>
      <c r="CW221" s="125"/>
      <c r="CX221" s="125"/>
      <c r="CY221" s="125"/>
      <c r="CZ221" s="125"/>
      <c r="DA221" s="125"/>
      <c r="DB221" s="125"/>
      <c r="DC221" s="125"/>
      <c r="DD221" s="125"/>
      <c r="DE221" s="125"/>
      <c r="DF221" s="125"/>
      <c r="DG221" s="125"/>
      <c r="DH221" s="125"/>
      <c r="DI221" s="125"/>
      <c r="DJ221" s="125"/>
      <c r="DK221" s="125"/>
      <c r="DL221" s="125"/>
      <c r="DM221" s="125"/>
      <c r="DN221" s="125"/>
      <c r="DO221" s="125"/>
      <c r="DP221" s="125"/>
      <c r="DQ221" s="125"/>
      <c r="DR221" s="125"/>
      <c r="DS221" s="125"/>
      <c r="DT221" s="125"/>
      <c r="DU221" s="125"/>
      <c r="DV221" s="125"/>
      <c r="DW221" s="125"/>
      <c r="DX221" s="125"/>
      <c r="DY221" s="125"/>
      <c r="DZ221" s="125"/>
      <c r="EA221" s="125"/>
      <c r="EB221" s="125"/>
      <c r="EC221" s="125"/>
      <c r="ED221" s="125"/>
      <c r="EE221" s="125"/>
      <c r="EF221" s="125"/>
      <c r="EG221" s="125"/>
      <c r="EH221" s="125"/>
      <c r="EI221" s="125"/>
      <c r="EJ221" s="125"/>
      <c r="EK221" s="125"/>
      <c r="EL221" s="125"/>
      <c r="EM221" s="125"/>
      <c r="EN221" s="125"/>
      <c r="EO221" s="125"/>
      <c r="EP221" s="125"/>
      <c r="EQ221" s="125"/>
      <c r="ER221" s="125"/>
      <c r="ES221" s="125"/>
      <c r="ET221" s="125"/>
      <c r="EU221" s="125"/>
      <c r="EV221" s="125"/>
      <c r="EW221" s="125"/>
      <c r="EX221" s="125"/>
      <c r="EY221" s="125"/>
      <c r="EZ221" s="125"/>
      <c r="FA221" s="125"/>
      <c r="FB221" s="125"/>
      <c r="FC221" s="125"/>
      <c r="FD221" s="125"/>
      <c r="FE221" s="125"/>
      <c r="FF221" s="125"/>
      <c r="FG221" s="125"/>
      <c r="FH221" s="125"/>
      <c r="FI221" s="125"/>
      <c r="FJ221" s="125"/>
      <c r="FK221" s="125"/>
      <c r="FL221" s="125"/>
      <c r="FM221" s="125"/>
      <c r="FN221" s="125"/>
      <c r="FO221" s="125"/>
      <c r="FP221" s="125"/>
      <c r="FQ221" s="125"/>
      <c r="FR221" s="125"/>
      <c r="FS221" s="125"/>
      <c r="FT221" s="125"/>
      <c r="FU221" s="125"/>
      <c r="FV221" s="125"/>
      <c r="FW221" s="125"/>
      <c r="FX221" s="125"/>
      <c r="FY221" s="125"/>
    </row>
    <row r="222" spans="1:181" ht="7.5" customHeight="1">
      <c r="A222" s="43"/>
      <c r="B222" s="103"/>
      <c r="C222" s="103"/>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43"/>
      <c r="BX222" s="43"/>
      <c r="BY222" s="125"/>
      <c r="BZ222" s="125"/>
      <c r="CA222" s="125"/>
      <c r="CB222" s="125"/>
      <c r="CC222" s="125"/>
      <c r="CD222" s="125"/>
      <c r="CE222" s="125"/>
      <c r="CF222" s="125"/>
      <c r="CG222" s="125"/>
      <c r="CH222" s="125"/>
      <c r="CI222" s="125"/>
      <c r="CJ222" s="125"/>
      <c r="CK222" s="125"/>
      <c r="CL222" s="125"/>
      <c r="CM222" s="125"/>
      <c r="CN222" s="125"/>
      <c r="CO222" s="125"/>
      <c r="CP222" s="125"/>
      <c r="CQ222" s="125"/>
      <c r="CR222" s="125"/>
      <c r="CS222" s="125"/>
      <c r="CT222" s="125"/>
      <c r="CU222" s="125"/>
      <c r="CV222" s="125"/>
      <c r="CW222" s="125"/>
      <c r="CX222" s="125"/>
      <c r="CY222" s="125"/>
      <c r="CZ222" s="125"/>
      <c r="DA222" s="125"/>
      <c r="DB222" s="125"/>
      <c r="DC222" s="125"/>
      <c r="DD222" s="125"/>
      <c r="DE222" s="125"/>
      <c r="DF222" s="125"/>
      <c r="DG222" s="125"/>
      <c r="DH222" s="125"/>
      <c r="DI222" s="125"/>
      <c r="DJ222" s="125"/>
      <c r="DK222" s="125"/>
      <c r="DL222" s="125"/>
      <c r="DM222" s="125"/>
      <c r="DN222" s="125"/>
      <c r="DO222" s="125"/>
      <c r="DP222" s="125"/>
      <c r="DQ222" s="125"/>
      <c r="DR222" s="125"/>
      <c r="DS222" s="125"/>
      <c r="DT222" s="125"/>
      <c r="DU222" s="125"/>
      <c r="DV222" s="125"/>
      <c r="DW222" s="125"/>
      <c r="DX222" s="125"/>
      <c r="DY222" s="125"/>
      <c r="DZ222" s="125"/>
      <c r="EA222" s="125"/>
      <c r="EB222" s="125"/>
      <c r="EC222" s="125"/>
      <c r="ED222" s="125"/>
      <c r="EE222" s="125"/>
      <c r="EF222" s="125"/>
      <c r="EG222" s="125"/>
      <c r="EH222" s="125"/>
      <c r="EI222" s="125"/>
      <c r="EJ222" s="125"/>
      <c r="EK222" s="125"/>
      <c r="EL222" s="125"/>
      <c r="EM222" s="125"/>
      <c r="EN222" s="125"/>
      <c r="EO222" s="125"/>
      <c r="EP222" s="125"/>
      <c r="EQ222" s="125"/>
      <c r="ER222" s="125"/>
      <c r="ES222" s="125"/>
      <c r="ET222" s="125"/>
      <c r="EU222" s="125"/>
      <c r="EV222" s="125"/>
      <c r="EW222" s="125"/>
      <c r="EX222" s="125"/>
      <c r="EY222" s="125"/>
      <c r="EZ222" s="125"/>
      <c r="FA222" s="125"/>
      <c r="FB222" s="125"/>
      <c r="FC222" s="125"/>
      <c r="FD222" s="125"/>
      <c r="FE222" s="125"/>
      <c r="FF222" s="125"/>
      <c r="FG222" s="125"/>
      <c r="FH222" s="125"/>
      <c r="FI222" s="125"/>
      <c r="FJ222" s="125"/>
      <c r="FK222" s="125"/>
      <c r="FL222" s="125"/>
      <c r="FM222" s="125"/>
      <c r="FN222" s="125"/>
      <c r="FO222" s="125"/>
      <c r="FP222" s="125"/>
      <c r="FQ222" s="125"/>
      <c r="FR222" s="125"/>
      <c r="FS222" s="125"/>
      <c r="FT222" s="125"/>
      <c r="FU222" s="125"/>
      <c r="FV222" s="125"/>
      <c r="FW222" s="125"/>
      <c r="FX222" s="125"/>
      <c r="FY222" s="125"/>
    </row>
    <row r="223" spans="1:181" ht="7.5" customHeight="1">
      <c r="A223" s="43"/>
      <c r="B223" s="103"/>
      <c r="C223" s="103"/>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43"/>
      <c r="BX223" s="43"/>
      <c r="BY223" s="125"/>
      <c r="BZ223" s="125"/>
      <c r="CA223" s="125"/>
      <c r="CB223" s="125"/>
      <c r="CC223" s="125"/>
      <c r="CD223" s="125"/>
      <c r="CE223" s="125"/>
      <c r="CF223" s="125"/>
      <c r="CG223" s="125"/>
      <c r="CH223" s="125"/>
      <c r="CI223" s="125"/>
      <c r="CJ223" s="125"/>
      <c r="CK223" s="125"/>
      <c r="CL223" s="125"/>
      <c r="CM223" s="125"/>
      <c r="CN223" s="125"/>
      <c r="CO223" s="125"/>
      <c r="CP223" s="125"/>
      <c r="CQ223" s="125"/>
      <c r="CR223" s="125"/>
      <c r="CS223" s="125"/>
      <c r="CT223" s="125"/>
      <c r="CU223" s="125"/>
      <c r="CV223" s="125"/>
      <c r="CW223" s="125"/>
      <c r="CX223" s="125"/>
      <c r="CY223" s="125"/>
      <c r="CZ223" s="125"/>
      <c r="DA223" s="125"/>
      <c r="DB223" s="125"/>
      <c r="DC223" s="125"/>
      <c r="DD223" s="125"/>
      <c r="DE223" s="125"/>
      <c r="DF223" s="125"/>
      <c r="DG223" s="125"/>
      <c r="DH223" s="125"/>
      <c r="DI223" s="125"/>
      <c r="DJ223" s="125"/>
      <c r="DK223" s="125"/>
      <c r="DL223" s="125"/>
      <c r="DM223" s="125"/>
      <c r="DN223" s="125"/>
      <c r="DO223" s="125"/>
      <c r="DP223" s="125"/>
      <c r="DQ223" s="125"/>
      <c r="DR223" s="125"/>
      <c r="DS223" s="125"/>
      <c r="DT223" s="125"/>
      <c r="DU223" s="125"/>
      <c r="DV223" s="125"/>
      <c r="DW223" s="125"/>
      <c r="DX223" s="125"/>
      <c r="DY223" s="125"/>
      <c r="DZ223" s="125"/>
      <c r="EA223" s="125"/>
      <c r="EB223" s="125"/>
      <c r="EC223" s="125"/>
      <c r="ED223" s="125"/>
      <c r="EE223" s="125"/>
      <c r="EF223" s="125"/>
      <c r="EG223" s="125"/>
      <c r="EH223" s="125"/>
      <c r="EI223" s="125"/>
      <c r="EJ223" s="125"/>
      <c r="EK223" s="125"/>
      <c r="EL223" s="125"/>
      <c r="EM223" s="125"/>
      <c r="EN223" s="125"/>
      <c r="EO223" s="125"/>
      <c r="EP223" s="125"/>
      <c r="EQ223" s="125"/>
      <c r="ER223" s="125"/>
      <c r="ES223" s="125"/>
      <c r="ET223" s="125"/>
      <c r="EU223" s="125"/>
      <c r="EV223" s="125"/>
      <c r="EW223" s="125"/>
      <c r="EX223" s="125"/>
      <c r="EY223" s="125"/>
      <c r="EZ223" s="125"/>
      <c r="FA223" s="125"/>
      <c r="FB223" s="125"/>
      <c r="FC223" s="125"/>
      <c r="FD223" s="125"/>
      <c r="FE223" s="125"/>
      <c r="FF223" s="125"/>
      <c r="FG223" s="125"/>
      <c r="FH223" s="125"/>
      <c r="FI223" s="125"/>
      <c r="FJ223" s="125"/>
      <c r="FK223" s="125"/>
      <c r="FL223" s="125"/>
      <c r="FM223" s="125"/>
      <c r="FN223" s="125"/>
      <c r="FO223" s="125"/>
      <c r="FP223" s="125"/>
      <c r="FQ223" s="125"/>
      <c r="FR223" s="125"/>
      <c r="FS223" s="125"/>
      <c r="FT223" s="125"/>
      <c r="FU223" s="125"/>
      <c r="FV223" s="125"/>
      <c r="FW223" s="125"/>
      <c r="FX223" s="125"/>
      <c r="FY223" s="125"/>
    </row>
    <row r="224" spans="1:181" ht="7.5" customHeight="1">
      <c r="A224" s="43"/>
      <c r="B224" s="103"/>
      <c r="C224" s="103"/>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43"/>
      <c r="BX224" s="43"/>
      <c r="BY224" s="125"/>
      <c r="BZ224" s="125"/>
      <c r="CA224" s="125"/>
      <c r="CB224" s="125"/>
      <c r="CC224" s="125"/>
      <c r="CD224" s="125"/>
      <c r="CE224" s="125"/>
      <c r="CF224" s="125"/>
      <c r="CG224" s="125"/>
      <c r="CH224" s="125"/>
      <c r="CI224" s="125"/>
      <c r="CJ224" s="125"/>
      <c r="CK224" s="125"/>
      <c r="CL224" s="125"/>
      <c r="CM224" s="125"/>
      <c r="CN224" s="125"/>
      <c r="CO224" s="125"/>
      <c r="CP224" s="125"/>
      <c r="CQ224" s="125"/>
      <c r="CR224" s="125"/>
      <c r="CS224" s="125"/>
      <c r="CT224" s="125"/>
      <c r="CU224" s="125"/>
      <c r="CV224" s="125"/>
      <c r="CW224" s="125"/>
      <c r="CX224" s="125"/>
      <c r="CY224" s="125"/>
      <c r="CZ224" s="125"/>
      <c r="DA224" s="125"/>
      <c r="DB224" s="125"/>
      <c r="DC224" s="125"/>
      <c r="DD224" s="125"/>
      <c r="DE224" s="125"/>
      <c r="DF224" s="125"/>
      <c r="DG224" s="125"/>
      <c r="DH224" s="125"/>
      <c r="DI224" s="125"/>
      <c r="DJ224" s="125"/>
      <c r="DK224" s="125"/>
      <c r="DL224" s="125"/>
      <c r="DM224" s="125"/>
      <c r="DN224" s="125"/>
      <c r="DO224" s="125"/>
      <c r="DP224" s="125"/>
      <c r="DQ224" s="125"/>
      <c r="DR224" s="125"/>
      <c r="DS224" s="125"/>
      <c r="DT224" s="125"/>
      <c r="DU224" s="125"/>
      <c r="DV224" s="125"/>
      <c r="DW224" s="125"/>
      <c r="DX224" s="125"/>
      <c r="DY224" s="125"/>
      <c r="DZ224" s="125"/>
      <c r="EA224" s="125"/>
      <c r="EB224" s="125"/>
      <c r="EC224" s="125"/>
      <c r="ED224" s="125"/>
      <c r="EE224" s="125"/>
      <c r="EF224" s="125"/>
      <c r="EG224" s="125"/>
      <c r="EH224" s="125"/>
      <c r="EI224" s="125"/>
      <c r="EJ224" s="125"/>
      <c r="EK224" s="125"/>
      <c r="EL224" s="125"/>
      <c r="EM224" s="125"/>
      <c r="EN224" s="125"/>
      <c r="EO224" s="125"/>
      <c r="EP224" s="125"/>
      <c r="EQ224" s="125"/>
      <c r="ER224" s="125"/>
      <c r="ES224" s="125"/>
      <c r="ET224" s="125"/>
      <c r="EU224" s="125"/>
      <c r="EV224" s="125"/>
      <c r="EW224" s="125"/>
      <c r="EX224" s="125"/>
      <c r="EY224" s="125"/>
      <c r="EZ224" s="125"/>
      <c r="FA224" s="125"/>
      <c r="FB224" s="125"/>
      <c r="FC224" s="125"/>
      <c r="FD224" s="125"/>
      <c r="FE224" s="125"/>
      <c r="FF224" s="125"/>
      <c r="FG224" s="125"/>
      <c r="FH224" s="125"/>
      <c r="FI224" s="125"/>
      <c r="FJ224" s="125"/>
      <c r="FK224" s="125"/>
      <c r="FL224" s="125"/>
      <c r="FM224" s="125"/>
      <c r="FN224" s="125"/>
      <c r="FO224" s="125"/>
      <c r="FP224" s="125"/>
      <c r="FQ224" s="125"/>
      <c r="FR224" s="125"/>
      <c r="FS224" s="125"/>
      <c r="FT224" s="125"/>
      <c r="FU224" s="125"/>
      <c r="FV224" s="125"/>
      <c r="FW224" s="125"/>
      <c r="FX224" s="125"/>
      <c r="FY224" s="125"/>
    </row>
    <row r="225" spans="1:181" ht="7.5" customHeight="1">
      <c r="A225" s="43"/>
      <c r="B225" s="103"/>
      <c r="C225" s="103"/>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43"/>
      <c r="BX225" s="43"/>
      <c r="BY225" s="125"/>
      <c r="BZ225" s="125"/>
      <c r="CA225" s="125"/>
      <c r="CB225" s="125"/>
      <c r="CC225" s="125"/>
      <c r="CD225" s="125"/>
      <c r="CE225" s="125"/>
      <c r="CF225" s="125"/>
      <c r="CG225" s="125"/>
      <c r="CH225" s="125"/>
      <c r="CI225" s="125"/>
      <c r="CJ225" s="125"/>
      <c r="CK225" s="125"/>
      <c r="CL225" s="125"/>
      <c r="CM225" s="125"/>
      <c r="CN225" s="125"/>
      <c r="CO225" s="125"/>
      <c r="CP225" s="125"/>
      <c r="CQ225" s="125"/>
      <c r="CR225" s="125"/>
      <c r="CS225" s="125"/>
      <c r="CT225" s="125"/>
      <c r="CU225" s="125"/>
      <c r="CV225" s="125"/>
      <c r="CW225" s="125"/>
      <c r="CX225" s="125"/>
      <c r="CY225" s="125"/>
      <c r="CZ225" s="125"/>
      <c r="DA225" s="125"/>
      <c r="DB225" s="125"/>
      <c r="DC225" s="125"/>
      <c r="DD225" s="125"/>
      <c r="DE225" s="125"/>
      <c r="DF225" s="125"/>
      <c r="DG225" s="125"/>
      <c r="DH225" s="125"/>
      <c r="DI225" s="125"/>
      <c r="DJ225" s="125"/>
      <c r="DK225" s="125"/>
      <c r="DL225" s="125"/>
      <c r="DM225" s="125"/>
      <c r="DN225" s="125"/>
      <c r="DO225" s="125"/>
      <c r="DP225" s="125"/>
      <c r="DQ225" s="125"/>
      <c r="DR225" s="125"/>
      <c r="DS225" s="125"/>
      <c r="DT225" s="125"/>
      <c r="DU225" s="125"/>
      <c r="DV225" s="125"/>
      <c r="DW225" s="125"/>
      <c r="DX225" s="125"/>
      <c r="DY225" s="125"/>
      <c r="DZ225" s="125"/>
      <c r="EA225" s="125"/>
      <c r="EB225" s="125"/>
      <c r="EC225" s="125"/>
      <c r="ED225" s="125"/>
      <c r="EE225" s="125"/>
      <c r="EF225" s="125"/>
      <c r="EG225" s="125"/>
      <c r="EH225" s="125"/>
      <c r="EI225" s="125"/>
      <c r="EJ225" s="125"/>
      <c r="EK225" s="125"/>
      <c r="EL225" s="125"/>
      <c r="EM225" s="125"/>
      <c r="EN225" s="125"/>
      <c r="EO225" s="125"/>
      <c r="EP225" s="125"/>
      <c r="EQ225" s="125"/>
      <c r="ER225" s="125"/>
      <c r="ES225" s="125"/>
      <c r="ET225" s="125"/>
      <c r="EU225" s="125"/>
      <c r="EV225" s="125"/>
      <c r="EW225" s="125"/>
      <c r="EX225" s="125"/>
      <c r="EY225" s="125"/>
      <c r="EZ225" s="125"/>
      <c r="FA225" s="125"/>
      <c r="FB225" s="125"/>
      <c r="FC225" s="125"/>
      <c r="FD225" s="125"/>
      <c r="FE225" s="125"/>
      <c r="FF225" s="125"/>
      <c r="FG225" s="125"/>
      <c r="FH225" s="125"/>
      <c r="FI225" s="125"/>
      <c r="FJ225" s="125"/>
      <c r="FK225" s="125"/>
      <c r="FL225" s="125"/>
      <c r="FM225" s="125"/>
      <c r="FN225" s="125"/>
      <c r="FO225" s="125"/>
      <c r="FP225" s="125"/>
      <c r="FQ225" s="125"/>
      <c r="FR225" s="125"/>
      <c r="FS225" s="125"/>
      <c r="FT225" s="125"/>
      <c r="FU225" s="125"/>
      <c r="FV225" s="125"/>
      <c r="FW225" s="125"/>
      <c r="FX225" s="125"/>
      <c r="FY225" s="125"/>
    </row>
    <row r="226" spans="1:181" ht="7.5" customHeight="1">
      <c r="A226" s="43"/>
      <c r="B226" s="103"/>
      <c r="C226" s="103"/>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43"/>
      <c r="BX226" s="43"/>
      <c r="BY226" s="125"/>
      <c r="BZ226" s="125"/>
      <c r="CA226" s="125"/>
      <c r="CB226" s="125"/>
      <c r="CC226" s="125"/>
      <c r="CD226" s="125"/>
      <c r="CE226" s="125"/>
      <c r="CF226" s="125"/>
      <c r="CG226" s="125"/>
      <c r="CH226" s="125"/>
      <c r="CI226" s="125"/>
      <c r="CJ226" s="125"/>
      <c r="CK226" s="125"/>
      <c r="CL226" s="125"/>
      <c r="CM226" s="125"/>
      <c r="CN226" s="125"/>
      <c r="CO226" s="125"/>
      <c r="CP226" s="125"/>
      <c r="CQ226" s="125"/>
      <c r="CR226" s="125"/>
      <c r="CS226" s="125"/>
      <c r="CT226" s="125"/>
      <c r="CU226" s="125"/>
      <c r="CV226" s="125"/>
      <c r="CW226" s="125"/>
      <c r="CX226" s="125"/>
      <c r="CY226" s="125"/>
      <c r="CZ226" s="125"/>
      <c r="DA226" s="125"/>
      <c r="DB226" s="125"/>
      <c r="DC226" s="125"/>
      <c r="DD226" s="125"/>
      <c r="DE226" s="125"/>
      <c r="DF226" s="125"/>
      <c r="DG226" s="125"/>
      <c r="DH226" s="125"/>
      <c r="DI226" s="125"/>
      <c r="DJ226" s="125"/>
      <c r="DK226" s="125"/>
      <c r="DL226" s="125"/>
      <c r="DM226" s="125"/>
      <c r="DN226" s="125"/>
      <c r="DO226" s="125"/>
      <c r="DP226" s="125"/>
      <c r="DQ226" s="125"/>
      <c r="DR226" s="125"/>
      <c r="DS226" s="125"/>
      <c r="DT226" s="125"/>
      <c r="DU226" s="125"/>
      <c r="DV226" s="125"/>
      <c r="DW226" s="125"/>
      <c r="DX226" s="125"/>
      <c r="DY226" s="125"/>
      <c r="DZ226" s="125"/>
      <c r="EA226" s="125"/>
      <c r="EB226" s="125"/>
      <c r="EC226" s="125"/>
      <c r="ED226" s="125"/>
      <c r="EE226" s="125"/>
      <c r="EF226" s="125"/>
      <c r="EG226" s="125"/>
      <c r="EH226" s="125"/>
      <c r="EI226" s="125"/>
      <c r="EJ226" s="125"/>
      <c r="EK226" s="125"/>
      <c r="EL226" s="125"/>
      <c r="EM226" s="125"/>
      <c r="EN226" s="125"/>
      <c r="EO226" s="125"/>
      <c r="EP226" s="125"/>
      <c r="EQ226" s="125"/>
      <c r="ER226" s="125"/>
      <c r="ES226" s="125"/>
      <c r="ET226" s="125"/>
      <c r="EU226" s="125"/>
      <c r="EV226" s="125"/>
      <c r="EW226" s="125"/>
      <c r="EX226" s="125"/>
      <c r="EY226" s="125"/>
      <c r="EZ226" s="125"/>
      <c r="FA226" s="125"/>
      <c r="FB226" s="125"/>
      <c r="FC226" s="125"/>
      <c r="FD226" s="125"/>
      <c r="FE226" s="125"/>
      <c r="FF226" s="125"/>
      <c r="FG226" s="125"/>
      <c r="FH226" s="125"/>
      <c r="FI226" s="125"/>
      <c r="FJ226" s="125"/>
      <c r="FK226" s="125"/>
      <c r="FL226" s="125"/>
      <c r="FM226" s="125"/>
      <c r="FN226" s="125"/>
      <c r="FO226" s="125"/>
      <c r="FP226" s="125"/>
      <c r="FQ226" s="125"/>
      <c r="FR226" s="125"/>
      <c r="FS226" s="125"/>
      <c r="FT226" s="125"/>
      <c r="FU226" s="125"/>
      <c r="FV226" s="125"/>
      <c r="FW226" s="125"/>
      <c r="FX226" s="125"/>
      <c r="FY226" s="125"/>
    </row>
    <row r="227" spans="1:181" ht="7.5" customHeight="1">
      <c r="A227" s="43"/>
      <c r="B227" s="103"/>
      <c r="C227" s="103"/>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43"/>
      <c r="BX227" s="43"/>
      <c r="BY227" s="125"/>
      <c r="BZ227" s="125"/>
      <c r="CA227" s="125"/>
      <c r="CB227" s="125"/>
      <c r="CC227" s="125"/>
      <c r="CD227" s="125"/>
      <c r="CE227" s="125"/>
      <c r="CF227" s="125"/>
      <c r="CG227" s="125"/>
      <c r="CH227" s="125"/>
      <c r="CI227" s="125"/>
      <c r="CJ227" s="125"/>
      <c r="CK227" s="125"/>
      <c r="CL227" s="125"/>
      <c r="CM227" s="125"/>
      <c r="CN227" s="125"/>
      <c r="CO227" s="125"/>
      <c r="CP227" s="125"/>
      <c r="CQ227" s="125"/>
      <c r="CR227" s="125"/>
      <c r="CS227" s="125"/>
      <c r="CT227" s="125"/>
      <c r="CU227" s="125"/>
      <c r="CV227" s="125"/>
      <c r="CW227" s="125"/>
      <c r="CX227" s="125"/>
      <c r="CY227" s="125"/>
      <c r="CZ227" s="125"/>
      <c r="DA227" s="125"/>
      <c r="DB227" s="125"/>
      <c r="DC227" s="125"/>
      <c r="DD227" s="125"/>
      <c r="DE227" s="125"/>
      <c r="DF227" s="125"/>
      <c r="DG227" s="125"/>
      <c r="DH227" s="125"/>
      <c r="DI227" s="125"/>
      <c r="DJ227" s="125"/>
      <c r="DK227" s="125"/>
      <c r="DL227" s="125"/>
      <c r="DM227" s="125"/>
      <c r="DN227" s="125"/>
      <c r="DO227" s="125"/>
      <c r="DP227" s="125"/>
      <c r="DQ227" s="125"/>
      <c r="DR227" s="125"/>
      <c r="DS227" s="125"/>
      <c r="DT227" s="125"/>
      <c r="DU227" s="125"/>
      <c r="DV227" s="125"/>
      <c r="DW227" s="125"/>
      <c r="DX227" s="125"/>
      <c r="DY227" s="125"/>
      <c r="DZ227" s="125"/>
      <c r="EA227" s="125"/>
      <c r="EB227" s="125"/>
      <c r="EC227" s="125"/>
      <c r="ED227" s="125"/>
      <c r="EE227" s="125"/>
      <c r="EF227" s="125"/>
      <c r="EG227" s="125"/>
      <c r="EH227" s="125"/>
      <c r="EI227" s="125"/>
      <c r="EJ227" s="125"/>
      <c r="EK227" s="125"/>
      <c r="EL227" s="125"/>
      <c r="EM227" s="125"/>
      <c r="EN227" s="125"/>
      <c r="EO227" s="125"/>
      <c r="EP227" s="125"/>
      <c r="EQ227" s="125"/>
      <c r="ER227" s="125"/>
      <c r="ES227" s="125"/>
      <c r="ET227" s="125"/>
      <c r="EU227" s="125"/>
      <c r="EV227" s="125"/>
      <c r="EW227" s="125"/>
      <c r="EX227" s="125"/>
      <c r="EY227" s="125"/>
      <c r="EZ227" s="125"/>
      <c r="FA227" s="125"/>
      <c r="FB227" s="125"/>
      <c r="FC227" s="125"/>
      <c r="FD227" s="125"/>
      <c r="FE227" s="125"/>
      <c r="FF227" s="125"/>
      <c r="FG227" s="125"/>
      <c r="FH227" s="125"/>
      <c r="FI227" s="125"/>
      <c r="FJ227" s="125"/>
      <c r="FK227" s="125"/>
      <c r="FL227" s="125"/>
      <c r="FM227" s="125"/>
      <c r="FN227" s="125"/>
      <c r="FO227" s="125"/>
      <c r="FP227" s="125"/>
      <c r="FQ227" s="125"/>
      <c r="FR227" s="125"/>
      <c r="FS227" s="125"/>
      <c r="FT227" s="125"/>
      <c r="FU227" s="125"/>
      <c r="FV227" s="125"/>
      <c r="FW227" s="125"/>
      <c r="FX227" s="125"/>
      <c r="FY227" s="125"/>
    </row>
    <row r="228" spans="1:181" ht="7.5" customHeight="1">
      <c r="A228" s="43"/>
      <c r="B228" s="103"/>
      <c r="C228" s="103"/>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43"/>
      <c r="BX228" s="43"/>
      <c r="BY228" s="125"/>
      <c r="BZ228" s="125"/>
      <c r="CA228" s="125"/>
      <c r="CB228" s="125"/>
      <c r="CC228" s="125"/>
      <c r="CD228" s="125"/>
      <c r="CE228" s="125"/>
      <c r="CF228" s="125"/>
      <c r="CG228" s="125"/>
      <c r="CH228" s="125"/>
      <c r="CI228" s="125"/>
      <c r="CJ228" s="125"/>
      <c r="CK228" s="125"/>
      <c r="CL228" s="125"/>
      <c r="CM228" s="125"/>
      <c r="CN228" s="125"/>
      <c r="CO228" s="125"/>
      <c r="CP228" s="125"/>
      <c r="CQ228" s="125"/>
      <c r="CR228" s="125"/>
      <c r="CS228" s="125"/>
      <c r="CT228" s="125"/>
      <c r="CU228" s="125"/>
      <c r="CV228" s="125"/>
      <c r="CW228" s="125"/>
      <c r="CX228" s="125"/>
      <c r="CY228" s="125"/>
      <c r="CZ228" s="125"/>
      <c r="DA228" s="125"/>
      <c r="DB228" s="125"/>
      <c r="DC228" s="125"/>
      <c r="DD228" s="125"/>
      <c r="DE228" s="125"/>
      <c r="DF228" s="125"/>
      <c r="DG228" s="125"/>
      <c r="DH228" s="125"/>
      <c r="DI228" s="125"/>
      <c r="DJ228" s="125"/>
      <c r="DK228" s="125"/>
      <c r="DL228" s="125"/>
      <c r="DM228" s="125"/>
      <c r="DN228" s="125"/>
      <c r="DO228" s="125"/>
      <c r="DP228" s="125"/>
      <c r="DQ228" s="125"/>
      <c r="DR228" s="125"/>
      <c r="DS228" s="125"/>
      <c r="DT228" s="125"/>
      <c r="DU228" s="125"/>
      <c r="DV228" s="125"/>
      <c r="DW228" s="125"/>
      <c r="DX228" s="125"/>
      <c r="DY228" s="125"/>
      <c r="DZ228" s="125"/>
      <c r="EA228" s="125"/>
      <c r="EB228" s="125"/>
      <c r="EC228" s="125"/>
      <c r="ED228" s="125"/>
      <c r="EE228" s="125"/>
      <c r="EF228" s="125"/>
      <c r="EG228" s="125"/>
      <c r="EH228" s="125"/>
      <c r="EI228" s="125"/>
      <c r="EJ228" s="125"/>
      <c r="EK228" s="125"/>
      <c r="EL228" s="125"/>
      <c r="EM228" s="125"/>
      <c r="EN228" s="125"/>
      <c r="EO228" s="125"/>
      <c r="EP228" s="125"/>
      <c r="EQ228" s="125"/>
      <c r="ER228" s="125"/>
      <c r="ES228" s="125"/>
      <c r="ET228" s="125"/>
      <c r="EU228" s="125"/>
      <c r="EV228" s="125"/>
      <c r="EW228" s="125"/>
      <c r="EX228" s="125"/>
      <c r="EY228" s="125"/>
      <c r="EZ228" s="125"/>
      <c r="FA228" s="125"/>
      <c r="FB228" s="125"/>
      <c r="FC228" s="125"/>
      <c r="FD228" s="125"/>
      <c r="FE228" s="125"/>
      <c r="FF228" s="125"/>
      <c r="FG228" s="125"/>
      <c r="FH228" s="125"/>
      <c r="FI228" s="125"/>
      <c r="FJ228" s="125"/>
      <c r="FK228" s="125"/>
      <c r="FL228" s="125"/>
      <c r="FM228" s="125"/>
      <c r="FN228" s="125"/>
      <c r="FO228" s="125"/>
      <c r="FP228" s="125"/>
      <c r="FQ228" s="125"/>
      <c r="FR228" s="125"/>
      <c r="FS228" s="125"/>
      <c r="FT228" s="125"/>
      <c r="FU228" s="125"/>
      <c r="FV228" s="125"/>
      <c r="FW228" s="125"/>
      <c r="FX228" s="125"/>
      <c r="FY228" s="125"/>
    </row>
    <row r="229" spans="1:181" ht="7.5" customHeight="1">
      <c r="A229" s="43"/>
      <c r="B229" s="103"/>
      <c r="C229" s="103"/>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43"/>
      <c r="BX229" s="43"/>
      <c r="BY229" s="125"/>
      <c r="BZ229" s="125"/>
      <c r="CA229" s="125"/>
      <c r="CB229" s="125"/>
      <c r="CC229" s="125"/>
      <c r="CD229" s="125"/>
      <c r="CE229" s="125"/>
      <c r="CF229" s="125"/>
      <c r="CG229" s="125"/>
      <c r="CH229" s="125"/>
      <c r="CI229" s="125"/>
      <c r="CJ229" s="125"/>
      <c r="CK229" s="125"/>
      <c r="CL229" s="125"/>
      <c r="CM229" s="125"/>
      <c r="CN229" s="125"/>
      <c r="CO229" s="125"/>
      <c r="CP229" s="125"/>
      <c r="CQ229" s="125"/>
      <c r="CR229" s="125"/>
      <c r="CS229" s="125"/>
      <c r="CT229" s="125"/>
      <c r="CU229" s="125"/>
      <c r="CV229" s="125"/>
      <c r="CW229" s="125"/>
      <c r="CX229" s="125"/>
      <c r="CY229" s="125"/>
      <c r="CZ229" s="125"/>
      <c r="DA229" s="125"/>
      <c r="DB229" s="125"/>
      <c r="DC229" s="125"/>
      <c r="DD229" s="125"/>
      <c r="DE229" s="125"/>
      <c r="DF229" s="125"/>
      <c r="DG229" s="125"/>
      <c r="DH229" s="125"/>
      <c r="DI229" s="125"/>
      <c r="DJ229" s="125"/>
      <c r="DK229" s="125"/>
      <c r="DL229" s="125"/>
      <c r="DM229" s="125"/>
      <c r="DN229" s="125"/>
      <c r="DO229" s="125"/>
      <c r="DP229" s="125"/>
      <c r="DQ229" s="125"/>
      <c r="DR229" s="125"/>
      <c r="DS229" s="125"/>
      <c r="DT229" s="125"/>
      <c r="DU229" s="125"/>
      <c r="DV229" s="125"/>
      <c r="DW229" s="125"/>
      <c r="DX229" s="125"/>
      <c r="DY229" s="125"/>
      <c r="DZ229" s="125"/>
      <c r="EA229" s="125"/>
      <c r="EB229" s="125"/>
      <c r="EC229" s="125"/>
      <c r="ED229" s="125"/>
      <c r="EE229" s="125"/>
      <c r="EF229" s="125"/>
      <c r="EG229" s="125"/>
      <c r="EH229" s="125"/>
      <c r="EI229" s="125"/>
      <c r="EJ229" s="125"/>
      <c r="EK229" s="125"/>
      <c r="EL229" s="125"/>
      <c r="EM229" s="125"/>
      <c r="EN229" s="125"/>
      <c r="EO229" s="125"/>
      <c r="EP229" s="125"/>
      <c r="EQ229" s="125"/>
      <c r="ER229" s="125"/>
      <c r="ES229" s="125"/>
      <c r="ET229" s="125"/>
      <c r="EU229" s="125"/>
      <c r="EV229" s="125"/>
      <c r="EW229" s="125"/>
      <c r="EX229" s="125"/>
      <c r="EY229" s="125"/>
      <c r="EZ229" s="125"/>
      <c r="FA229" s="125"/>
      <c r="FB229" s="125"/>
      <c r="FC229" s="125"/>
      <c r="FD229" s="125"/>
      <c r="FE229" s="125"/>
      <c r="FF229" s="125"/>
      <c r="FG229" s="125"/>
      <c r="FH229" s="125"/>
      <c r="FI229" s="125"/>
      <c r="FJ229" s="125"/>
      <c r="FK229" s="125"/>
      <c r="FL229" s="125"/>
      <c r="FM229" s="125"/>
      <c r="FN229" s="125"/>
      <c r="FO229" s="125"/>
      <c r="FP229" s="125"/>
      <c r="FQ229" s="125"/>
      <c r="FR229" s="125"/>
      <c r="FS229" s="125"/>
      <c r="FT229" s="125"/>
      <c r="FU229" s="125"/>
      <c r="FV229" s="125"/>
      <c r="FW229" s="125"/>
      <c r="FX229" s="125"/>
      <c r="FY229" s="125"/>
    </row>
    <row r="230" spans="1:181" ht="7.5" customHeight="1">
      <c r="A230" s="43"/>
      <c r="B230" s="103"/>
      <c r="C230" s="103"/>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43"/>
      <c r="BX230" s="43"/>
      <c r="BY230" s="125"/>
      <c r="BZ230" s="125"/>
      <c r="CA230" s="125"/>
      <c r="CB230" s="125"/>
      <c r="CC230" s="125"/>
      <c r="CD230" s="125"/>
      <c r="CE230" s="125"/>
      <c r="CF230" s="125"/>
      <c r="CG230" s="125"/>
      <c r="CH230" s="125"/>
      <c r="CI230" s="125"/>
      <c r="CJ230" s="125"/>
      <c r="CK230" s="125"/>
      <c r="CL230" s="125"/>
      <c r="CM230" s="125"/>
      <c r="CN230" s="125"/>
      <c r="CO230" s="125"/>
      <c r="CP230" s="125"/>
      <c r="CQ230" s="125"/>
      <c r="CR230" s="125"/>
      <c r="CS230" s="125"/>
      <c r="CT230" s="125"/>
      <c r="CU230" s="125"/>
      <c r="CV230" s="125"/>
      <c r="CW230" s="125"/>
      <c r="CX230" s="125"/>
      <c r="CY230" s="125"/>
      <c r="CZ230" s="125"/>
      <c r="DA230" s="125"/>
      <c r="DB230" s="125"/>
      <c r="DC230" s="125"/>
      <c r="DD230" s="125"/>
      <c r="DE230" s="125"/>
      <c r="DF230" s="125"/>
      <c r="DG230" s="125"/>
      <c r="DH230" s="125"/>
      <c r="DI230" s="125"/>
      <c r="DJ230" s="125"/>
      <c r="DK230" s="125"/>
      <c r="DL230" s="125"/>
      <c r="DM230" s="125"/>
      <c r="DN230" s="125"/>
      <c r="DO230" s="125"/>
      <c r="DP230" s="125"/>
      <c r="DQ230" s="125"/>
      <c r="DR230" s="125"/>
      <c r="DS230" s="125"/>
      <c r="DT230" s="125"/>
      <c r="DU230" s="125"/>
      <c r="DV230" s="125"/>
      <c r="DW230" s="125"/>
      <c r="DX230" s="125"/>
      <c r="DY230" s="125"/>
      <c r="DZ230" s="125"/>
      <c r="EA230" s="125"/>
      <c r="EB230" s="125"/>
      <c r="EC230" s="125"/>
      <c r="ED230" s="125"/>
      <c r="EE230" s="125"/>
      <c r="EF230" s="125"/>
      <c r="EG230" s="125"/>
      <c r="EH230" s="125"/>
      <c r="EI230" s="125"/>
      <c r="EJ230" s="125"/>
      <c r="EK230" s="125"/>
      <c r="EL230" s="125"/>
      <c r="EM230" s="125"/>
      <c r="EN230" s="125"/>
      <c r="EO230" s="125"/>
      <c r="EP230" s="125"/>
      <c r="EQ230" s="125"/>
      <c r="ER230" s="125"/>
      <c r="ES230" s="125"/>
      <c r="ET230" s="125"/>
      <c r="EU230" s="125"/>
      <c r="EV230" s="125"/>
      <c r="EW230" s="125"/>
      <c r="EX230" s="125"/>
      <c r="EY230" s="125"/>
      <c r="EZ230" s="125"/>
      <c r="FA230" s="125"/>
      <c r="FB230" s="125"/>
      <c r="FC230" s="125"/>
      <c r="FD230" s="125"/>
      <c r="FE230" s="125"/>
      <c r="FF230" s="125"/>
      <c r="FG230" s="125"/>
      <c r="FH230" s="125"/>
      <c r="FI230" s="125"/>
      <c r="FJ230" s="125"/>
      <c r="FK230" s="125"/>
      <c r="FL230" s="125"/>
      <c r="FM230" s="125"/>
      <c r="FN230" s="125"/>
      <c r="FO230" s="125"/>
      <c r="FP230" s="125"/>
      <c r="FQ230" s="125"/>
      <c r="FR230" s="125"/>
      <c r="FS230" s="125"/>
      <c r="FT230" s="125"/>
      <c r="FU230" s="125"/>
      <c r="FV230" s="125"/>
      <c r="FW230" s="125"/>
      <c r="FX230" s="125"/>
      <c r="FY230" s="125"/>
    </row>
    <row r="231" spans="1:181" ht="7.5" customHeight="1">
      <c r="A231" s="43"/>
      <c r="B231" s="103"/>
      <c r="C231" s="103"/>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43"/>
      <c r="BX231" s="43"/>
      <c r="BY231" s="125"/>
      <c r="BZ231" s="125"/>
      <c r="CA231" s="125"/>
      <c r="CB231" s="125"/>
      <c r="CC231" s="125"/>
      <c r="CD231" s="125"/>
      <c r="CE231" s="125"/>
      <c r="CF231" s="125"/>
      <c r="CG231" s="125"/>
      <c r="CH231" s="125"/>
      <c r="CI231" s="125"/>
      <c r="CJ231" s="125"/>
      <c r="CK231" s="125"/>
      <c r="CL231" s="125"/>
      <c r="CM231" s="125"/>
      <c r="CN231" s="125"/>
      <c r="CO231" s="125"/>
      <c r="CP231" s="125"/>
      <c r="CQ231" s="125"/>
      <c r="CR231" s="125"/>
      <c r="CS231" s="125"/>
      <c r="CT231" s="125"/>
      <c r="CU231" s="125"/>
      <c r="CV231" s="125"/>
      <c r="CW231" s="125"/>
      <c r="CX231" s="125"/>
      <c r="CY231" s="125"/>
      <c r="CZ231" s="125"/>
      <c r="DA231" s="125"/>
      <c r="DB231" s="125"/>
      <c r="DC231" s="125"/>
      <c r="DD231" s="125"/>
      <c r="DE231" s="125"/>
      <c r="DF231" s="125"/>
      <c r="DG231" s="125"/>
      <c r="DH231" s="125"/>
      <c r="DI231" s="125"/>
      <c r="DJ231" s="125"/>
      <c r="DK231" s="125"/>
      <c r="DL231" s="125"/>
      <c r="DM231" s="125"/>
      <c r="DN231" s="125"/>
      <c r="DO231" s="125"/>
      <c r="DP231" s="125"/>
      <c r="DQ231" s="125"/>
      <c r="DR231" s="125"/>
      <c r="DS231" s="125"/>
      <c r="DT231" s="125"/>
      <c r="DU231" s="125"/>
      <c r="DV231" s="125"/>
      <c r="DW231" s="125"/>
      <c r="DX231" s="125"/>
      <c r="DY231" s="125"/>
      <c r="DZ231" s="125"/>
      <c r="EA231" s="125"/>
      <c r="EB231" s="125"/>
      <c r="EC231" s="125"/>
      <c r="ED231" s="125"/>
      <c r="EE231" s="125"/>
      <c r="EF231" s="125"/>
      <c r="EG231" s="125"/>
      <c r="EH231" s="125"/>
      <c r="EI231" s="125"/>
      <c r="EJ231" s="125"/>
      <c r="EK231" s="125"/>
      <c r="EL231" s="125"/>
      <c r="EM231" s="125"/>
      <c r="EN231" s="125"/>
      <c r="EO231" s="125"/>
      <c r="EP231" s="125"/>
      <c r="EQ231" s="125"/>
      <c r="ER231" s="125"/>
      <c r="ES231" s="125"/>
      <c r="ET231" s="125"/>
      <c r="EU231" s="125"/>
      <c r="EV231" s="125"/>
      <c r="EW231" s="125"/>
      <c r="EX231" s="125"/>
      <c r="EY231" s="125"/>
      <c r="EZ231" s="125"/>
      <c r="FA231" s="125"/>
      <c r="FB231" s="125"/>
      <c r="FC231" s="125"/>
      <c r="FD231" s="125"/>
      <c r="FE231" s="125"/>
      <c r="FF231" s="125"/>
      <c r="FG231" s="125"/>
      <c r="FH231" s="125"/>
      <c r="FI231" s="125"/>
      <c r="FJ231" s="125"/>
      <c r="FK231" s="125"/>
      <c r="FL231" s="125"/>
      <c r="FM231" s="125"/>
      <c r="FN231" s="125"/>
      <c r="FO231" s="125"/>
      <c r="FP231" s="125"/>
      <c r="FQ231" s="125"/>
      <c r="FR231" s="125"/>
      <c r="FS231" s="125"/>
      <c r="FT231" s="125"/>
      <c r="FU231" s="125"/>
      <c r="FV231" s="125"/>
      <c r="FW231" s="125"/>
      <c r="FX231" s="125"/>
      <c r="FY231" s="125"/>
    </row>
    <row r="232" spans="1:181" ht="7.5" customHeight="1">
      <c r="A232" s="43"/>
      <c r="B232" s="43"/>
      <c r="C232" s="43"/>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43"/>
      <c r="BX232" s="43"/>
      <c r="BY232" s="125"/>
      <c r="BZ232" s="125"/>
      <c r="CA232" s="125"/>
      <c r="CB232" s="125"/>
      <c r="CC232" s="125"/>
      <c r="CD232" s="125"/>
      <c r="CE232" s="125"/>
      <c r="CF232" s="125"/>
      <c r="CG232" s="125"/>
      <c r="CH232" s="125"/>
      <c r="CI232" s="125"/>
      <c r="CJ232" s="125"/>
      <c r="CK232" s="125"/>
      <c r="CL232" s="125"/>
      <c r="CM232" s="125"/>
      <c r="CN232" s="125"/>
      <c r="CO232" s="125"/>
      <c r="CP232" s="125"/>
      <c r="CQ232" s="125"/>
      <c r="CR232" s="125"/>
      <c r="CS232" s="125"/>
      <c r="CT232" s="125"/>
      <c r="CU232" s="125"/>
      <c r="CV232" s="125"/>
      <c r="CW232" s="125"/>
      <c r="CX232" s="125"/>
      <c r="CY232" s="125"/>
      <c r="CZ232" s="125"/>
      <c r="DA232" s="125"/>
      <c r="DB232" s="125"/>
      <c r="DC232" s="125"/>
      <c r="DD232" s="125"/>
      <c r="DE232" s="125"/>
      <c r="DF232" s="125"/>
      <c r="DG232" s="125"/>
      <c r="DH232" s="125"/>
      <c r="DI232" s="125"/>
      <c r="DJ232" s="125"/>
      <c r="DK232" s="125"/>
      <c r="DL232" s="125"/>
      <c r="DM232" s="125"/>
      <c r="DN232" s="125"/>
      <c r="DO232" s="125"/>
      <c r="DP232" s="125"/>
      <c r="DQ232" s="125"/>
      <c r="DR232" s="125"/>
      <c r="DS232" s="125"/>
      <c r="DT232" s="125"/>
      <c r="DU232" s="125"/>
      <c r="DV232" s="125"/>
      <c r="DW232" s="125"/>
      <c r="DX232" s="125"/>
      <c r="DY232" s="125"/>
      <c r="DZ232" s="125"/>
      <c r="EA232" s="125"/>
      <c r="EB232" s="125"/>
      <c r="EC232" s="125"/>
      <c r="ED232" s="125"/>
      <c r="EE232" s="125"/>
      <c r="EF232" s="125"/>
      <c r="EG232" s="125"/>
      <c r="EH232" s="125"/>
      <c r="EI232" s="125"/>
      <c r="EJ232" s="125"/>
      <c r="EK232" s="125"/>
      <c r="EL232" s="125"/>
      <c r="EM232" s="125"/>
      <c r="EN232" s="125"/>
      <c r="EO232" s="125"/>
      <c r="EP232" s="125"/>
      <c r="EQ232" s="125"/>
      <c r="ER232" s="125"/>
      <c r="ES232" s="125"/>
      <c r="ET232" s="125"/>
      <c r="EU232" s="125"/>
      <c r="EV232" s="125"/>
      <c r="EW232" s="125"/>
      <c r="EX232" s="125"/>
      <c r="EY232" s="125"/>
      <c r="EZ232" s="125"/>
      <c r="FA232" s="125"/>
      <c r="FB232" s="125"/>
      <c r="FC232" s="125"/>
      <c r="FD232" s="125"/>
      <c r="FE232" s="125"/>
      <c r="FF232" s="125"/>
      <c r="FG232" s="125"/>
      <c r="FH232" s="125"/>
      <c r="FI232" s="125"/>
      <c r="FJ232" s="125"/>
      <c r="FK232" s="125"/>
      <c r="FL232" s="125"/>
      <c r="FM232" s="125"/>
      <c r="FN232" s="125"/>
      <c r="FO232" s="125"/>
      <c r="FP232" s="125"/>
      <c r="FQ232" s="125"/>
      <c r="FR232" s="125"/>
      <c r="FS232" s="125"/>
      <c r="FT232" s="125"/>
      <c r="FU232" s="125"/>
      <c r="FV232" s="125"/>
      <c r="FW232" s="125"/>
      <c r="FX232" s="125"/>
      <c r="FY232" s="125"/>
    </row>
    <row r="233" spans="1:181" ht="7.5" customHeight="1">
      <c r="A233" s="43"/>
      <c r="B233" s="43"/>
      <c r="C233" s="43"/>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43"/>
      <c r="BX233" s="43"/>
      <c r="BY233" s="125"/>
      <c r="BZ233" s="125"/>
      <c r="CA233" s="125"/>
      <c r="CB233" s="125"/>
      <c r="CC233" s="125"/>
      <c r="CD233" s="125"/>
      <c r="CE233" s="125"/>
      <c r="CF233" s="125"/>
      <c r="CG233" s="125"/>
      <c r="CH233" s="125"/>
      <c r="CI233" s="125"/>
      <c r="CJ233" s="125"/>
      <c r="CK233" s="125"/>
      <c r="CL233" s="125"/>
      <c r="CM233" s="125"/>
      <c r="CN233" s="125"/>
      <c r="CO233" s="125"/>
      <c r="CP233" s="125"/>
      <c r="CQ233" s="125"/>
      <c r="CR233" s="125"/>
      <c r="CS233" s="125"/>
      <c r="CT233" s="125"/>
      <c r="CU233" s="125"/>
      <c r="CV233" s="125"/>
      <c r="CW233" s="125"/>
      <c r="CX233" s="125"/>
      <c r="CY233" s="125"/>
      <c r="CZ233" s="125"/>
      <c r="DA233" s="125"/>
      <c r="DB233" s="125"/>
      <c r="DC233" s="125"/>
      <c r="DD233" s="125"/>
      <c r="DE233" s="125"/>
      <c r="DF233" s="125"/>
      <c r="DG233" s="125"/>
      <c r="DH233" s="125"/>
      <c r="DI233" s="125"/>
      <c r="DJ233" s="125"/>
      <c r="DK233" s="125"/>
      <c r="DL233" s="125"/>
      <c r="DM233" s="125"/>
      <c r="DN233" s="125"/>
      <c r="DO233" s="125"/>
      <c r="DP233" s="125"/>
      <c r="DQ233" s="125"/>
      <c r="DR233" s="125"/>
      <c r="DS233" s="125"/>
      <c r="DT233" s="125"/>
      <c r="DU233" s="125"/>
      <c r="DV233" s="125"/>
      <c r="DW233" s="125"/>
      <c r="DX233" s="125"/>
      <c r="DY233" s="125"/>
      <c r="DZ233" s="125"/>
      <c r="EA233" s="125"/>
      <c r="EB233" s="125"/>
      <c r="EC233" s="125"/>
      <c r="ED233" s="125"/>
      <c r="EE233" s="125"/>
      <c r="EF233" s="125"/>
      <c r="EG233" s="125"/>
      <c r="EH233" s="125"/>
      <c r="EI233" s="125"/>
      <c r="EJ233" s="125"/>
      <c r="EK233" s="125"/>
      <c r="EL233" s="125"/>
      <c r="EM233" s="125"/>
      <c r="EN233" s="125"/>
      <c r="EO233" s="125"/>
      <c r="EP233" s="125"/>
      <c r="EQ233" s="125"/>
      <c r="ER233" s="125"/>
      <c r="ES233" s="125"/>
      <c r="ET233" s="125"/>
      <c r="EU233" s="125"/>
      <c r="EV233" s="125"/>
      <c r="EW233" s="125"/>
      <c r="EX233" s="125"/>
      <c r="EY233" s="125"/>
      <c r="EZ233" s="125"/>
      <c r="FA233" s="125"/>
      <c r="FB233" s="125"/>
      <c r="FC233" s="125"/>
      <c r="FD233" s="125"/>
      <c r="FE233" s="125"/>
      <c r="FF233" s="125"/>
      <c r="FG233" s="125"/>
      <c r="FH233" s="125"/>
      <c r="FI233" s="125"/>
      <c r="FJ233" s="125"/>
      <c r="FK233" s="125"/>
      <c r="FL233" s="125"/>
      <c r="FM233" s="125"/>
      <c r="FN233" s="125"/>
      <c r="FO233" s="125"/>
      <c r="FP233" s="125"/>
      <c r="FQ233" s="125"/>
      <c r="FR233" s="125"/>
      <c r="FS233" s="125"/>
      <c r="FT233" s="125"/>
      <c r="FU233" s="125"/>
      <c r="FV233" s="125"/>
      <c r="FW233" s="125"/>
      <c r="FX233" s="125"/>
      <c r="FY233" s="125"/>
    </row>
    <row r="234" spans="1:181" ht="7.5" customHeight="1">
      <c r="A234" s="43"/>
      <c r="B234" s="43"/>
      <c r="C234" s="43"/>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43"/>
      <c r="BX234" s="43"/>
      <c r="BY234" s="125"/>
      <c r="BZ234" s="125"/>
      <c r="CA234" s="125"/>
      <c r="CB234" s="125"/>
      <c r="CC234" s="125"/>
      <c r="CD234" s="125"/>
      <c r="CE234" s="125"/>
      <c r="CF234" s="125"/>
      <c r="CG234" s="125"/>
      <c r="CH234" s="125"/>
      <c r="CI234" s="125"/>
      <c r="CJ234" s="125"/>
      <c r="CK234" s="125"/>
      <c r="CL234" s="125"/>
      <c r="CM234" s="125"/>
      <c r="CN234" s="125"/>
      <c r="CO234" s="125"/>
      <c r="CP234" s="125"/>
      <c r="CQ234" s="125"/>
      <c r="CR234" s="125"/>
      <c r="CS234" s="125"/>
      <c r="CT234" s="125"/>
      <c r="CU234" s="125"/>
      <c r="CV234" s="125"/>
      <c r="CW234" s="125"/>
      <c r="CX234" s="125"/>
      <c r="CY234" s="125"/>
      <c r="CZ234" s="125"/>
      <c r="DA234" s="125"/>
      <c r="DB234" s="125"/>
      <c r="DC234" s="125"/>
      <c r="DD234" s="125"/>
      <c r="DE234" s="125"/>
      <c r="DF234" s="125"/>
      <c r="DG234" s="125"/>
      <c r="DH234" s="125"/>
      <c r="DI234" s="125"/>
      <c r="DJ234" s="125"/>
      <c r="DK234" s="125"/>
      <c r="DL234" s="125"/>
      <c r="DM234" s="125"/>
      <c r="DN234" s="125"/>
      <c r="DO234" s="125"/>
      <c r="DP234" s="125"/>
      <c r="DQ234" s="125"/>
      <c r="DR234" s="125"/>
      <c r="DS234" s="125"/>
      <c r="DT234" s="125"/>
      <c r="DU234" s="125"/>
      <c r="DV234" s="125"/>
      <c r="DW234" s="125"/>
      <c r="DX234" s="125"/>
      <c r="DY234" s="125"/>
      <c r="DZ234" s="125"/>
      <c r="EA234" s="125"/>
      <c r="EB234" s="125"/>
      <c r="EC234" s="125"/>
      <c r="ED234" s="125"/>
      <c r="EE234" s="125"/>
      <c r="EF234" s="125"/>
      <c r="EG234" s="125"/>
      <c r="EH234" s="125"/>
      <c r="EI234" s="125"/>
      <c r="EJ234" s="125"/>
      <c r="EK234" s="125"/>
      <c r="EL234" s="125"/>
      <c r="EM234" s="125"/>
      <c r="EN234" s="125"/>
      <c r="EO234" s="125"/>
      <c r="EP234" s="125"/>
      <c r="EQ234" s="125"/>
      <c r="ER234" s="125"/>
      <c r="ES234" s="125"/>
      <c r="ET234" s="125"/>
      <c r="EU234" s="125"/>
      <c r="EV234" s="125"/>
      <c r="EW234" s="125"/>
      <c r="EX234" s="125"/>
      <c r="EY234" s="125"/>
      <c r="EZ234" s="125"/>
      <c r="FA234" s="125"/>
      <c r="FB234" s="125"/>
      <c r="FC234" s="125"/>
      <c r="FD234" s="125"/>
      <c r="FE234" s="125"/>
      <c r="FF234" s="125"/>
      <c r="FG234" s="125"/>
      <c r="FH234" s="125"/>
      <c r="FI234" s="125"/>
      <c r="FJ234" s="125"/>
      <c r="FK234" s="125"/>
      <c r="FL234" s="125"/>
      <c r="FM234" s="125"/>
      <c r="FN234" s="125"/>
      <c r="FO234" s="125"/>
      <c r="FP234" s="125"/>
      <c r="FQ234" s="125"/>
      <c r="FR234" s="125"/>
      <c r="FS234" s="125"/>
      <c r="FT234" s="125"/>
      <c r="FU234" s="125"/>
      <c r="FV234" s="125"/>
      <c r="FW234" s="125"/>
      <c r="FX234" s="125"/>
      <c r="FY234" s="125"/>
    </row>
    <row r="235" spans="1:181" ht="7.5" customHeight="1">
      <c r="A235" s="43"/>
      <c r="B235" s="43"/>
      <c r="C235" s="43"/>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43"/>
      <c r="BX235" s="43"/>
      <c r="BY235" s="125"/>
      <c r="BZ235" s="125"/>
      <c r="CA235" s="125"/>
      <c r="CB235" s="125"/>
      <c r="CC235" s="125"/>
      <c r="CD235" s="125"/>
      <c r="CE235" s="125"/>
      <c r="CF235" s="125"/>
      <c r="CG235" s="125"/>
      <c r="CH235" s="125"/>
      <c r="CI235" s="125"/>
      <c r="CJ235" s="125"/>
      <c r="CK235" s="125"/>
      <c r="CL235" s="125"/>
      <c r="CM235" s="125"/>
      <c r="CN235" s="125"/>
      <c r="CO235" s="125"/>
      <c r="CP235" s="125"/>
      <c r="CQ235" s="125"/>
      <c r="CR235" s="125"/>
      <c r="CS235" s="125"/>
      <c r="CT235" s="125"/>
      <c r="CU235" s="125"/>
      <c r="CV235" s="125"/>
      <c r="CW235" s="125"/>
      <c r="CX235" s="125"/>
      <c r="CY235" s="125"/>
      <c r="CZ235" s="125"/>
      <c r="DA235" s="125"/>
      <c r="DB235" s="125"/>
      <c r="DC235" s="125"/>
      <c r="DD235" s="125"/>
      <c r="DE235" s="125"/>
      <c r="DF235" s="125"/>
      <c r="DG235" s="125"/>
      <c r="DH235" s="125"/>
      <c r="DI235" s="125"/>
      <c r="DJ235" s="125"/>
      <c r="DK235" s="125"/>
      <c r="DL235" s="125"/>
      <c r="DM235" s="125"/>
      <c r="DN235" s="125"/>
      <c r="DO235" s="125"/>
      <c r="DP235" s="125"/>
      <c r="DQ235" s="125"/>
      <c r="DR235" s="125"/>
      <c r="DS235" s="125"/>
      <c r="DT235" s="125"/>
      <c r="DU235" s="125"/>
      <c r="DV235" s="125"/>
      <c r="DW235" s="125"/>
      <c r="DX235" s="125"/>
      <c r="DY235" s="125"/>
      <c r="DZ235" s="125"/>
      <c r="EA235" s="125"/>
      <c r="EB235" s="125"/>
      <c r="EC235" s="125"/>
      <c r="ED235" s="125"/>
      <c r="EE235" s="125"/>
      <c r="EF235" s="125"/>
      <c r="EG235" s="125"/>
      <c r="EH235" s="125"/>
      <c r="EI235" s="125"/>
      <c r="EJ235" s="125"/>
      <c r="EK235" s="125"/>
      <c r="EL235" s="125"/>
      <c r="EM235" s="125"/>
      <c r="EN235" s="125"/>
      <c r="EO235" s="125"/>
      <c r="EP235" s="125"/>
      <c r="EQ235" s="125"/>
      <c r="ER235" s="125"/>
      <c r="ES235" s="125"/>
      <c r="ET235" s="125"/>
      <c r="EU235" s="125"/>
      <c r="EV235" s="125"/>
      <c r="EW235" s="125"/>
      <c r="EX235" s="125"/>
      <c r="EY235" s="125"/>
      <c r="EZ235" s="125"/>
      <c r="FA235" s="125"/>
      <c r="FB235" s="125"/>
      <c r="FC235" s="125"/>
      <c r="FD235" s="125"/>
      <c r="FE235" s="125"/>
      <c r="FF235" s="125"/>
      <c r="FG235" s="125"/>
      <c r="FH235" s="125"/>
      <c r="FI235" s="125"/>
      <c r="FJ235" s="125"/>
      <c r="FK235" s="125"/>
      <c r="FL235" s="125"/>
      <c r="FM235" s="125"/>
      <c r="FN235" s="125"/>
      <c r="FO235" s="125"/>
      <c r="FP235" s="125"/>
      <c r="FQ235" s="125"/>
      <c r="FR235" s="125"/>
      <c r="FS235" s="125"/>
      <c r="FT235" s="125"/>
      <c r="FU235" s="125"/>
      <c r="FV235" s="125"/>
      <c r="FW235" s="125"/>
      <c r="FX235" s="125"/>
      <c r="FY235" s="125"/>
    </row>
    <row r="236" spans="1:181" ht="7.5" customHeight="1">
      <c r="A236" s="43"/>
      <c r="B236" s="43"/>
      <c r="C236" s="43"/>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43"/>
      <c r="BX236" s="43"/>
      <c r="BY236" s="125"/>
      <c r="BZ236" s="125"/>
      <c r="CA236" s="125"/>
      <c r="CB236" s="125"/>
      <c r="CC236" s="125"/>
      <c r="CD236" s="125"/>
      <c r="CE236" s="125"/>
      <c r="CF236" s="125"/>
      <c r="CG236" s="125"/>
      <c r="CH236" s="125"/>
      <c r="CI236" s="125"/>
      <c r="CJ236" s="125"/>
      <c r="CK236" s="125"/>
      <c r="CL236" s="125"/>
      <c r="CM236" s="125"/>
      <c r="CN236" s="125"/>
      <c r="CO236" s="125"/>
      <c r="CP236" s="125"/>
      <c r="CQ236" s="125"/>
      <c r="CR236" s="125"/>
      <c r="CS236" s="125"/>
      <c r="CT236" s="125"/>
      <c r="CU236" s="125"/>
      <c r="CV236" s="125"/>
      <c r="CW236" s="125"/>
      <c r="CX236" s="125"/>
      <c r="CY236" s="125"/>
      <c r="CZ236" s="125"/>
      <c r="DA236" s="125"/>
      <c r="DB236" s="125"/>
      <c r="DC236" s="125"/>
      <c r="DD236" s="125"/>
      <c r="DE236" s="125"/>
      <c r="DF236" s="125"/>
      <c r="DG236" s="125"/>
      <c r="DH236" s="125"/>
      <c r="DI236" s="125"/>
      <c r="DJ236" s="125"/>
      <c r="DK236" s="125"/>
      <c r="DL236" s="125"/>
      <c r="DM236" s="125"/>
      <c r="DN236" s="125"/>
      <c r="DO236" s="125"/>
      <c r="DP236" s="125"/>
      <c r="DQ236" s="125"/>
      <c r="DR236" s="125"/>
      <c r="DS236" s="125"/>
      <c r="DT236" s="125"/>
      <c r="DU236" s="125"/>
      <c r="DV236" s="125"/>
      <c r="DW236" s="125"/>
      <c r="DX236" s="125"/>
      <c r="DY236" s="125"/>
      <c r="DZ236" s="125"/>
      <c r="EA236" s="125"/>
      <c r="EB236" s="125"/>
      <c r="EC236" s="125"/>
      <c r="ED236" s="125"/>
      <c r="EE236" s="125"/>
      <c r="EF236" s="125"/>
      <c r="EG236" s="125"/>
      <c r="EH236" s="125"/>
      <c r="EI236" s="125"/>
      <c r="EJ236" s="125"/>
      <c r="EK236" s="125"/>
      <c r="EL236" s="125"/>
      <c r="EM236" s="125"/>
      <c r="EN236" s="125"/>
      <c r="EO236" s="125"/>
      <c r="EP236" s="125"/>
      <c r="EQ236" s="125"/>
      <c r="ER236" s="125"/>
      <c r="ES236" s="125"/>
      <c r="ET236" s="125"/>
      <c r="EU236" s="125"/>
      <c r="EV236" s="125"/>
      <c r="EW236" s="125"/>
      <c r="EX236" s="125"/>
      <c r="EY236" s="125"/>
      <c r="EZ236" s="125"/>
      <c r="FA236" s="125"/>
      <c r="FB236" s="125"/>
      <c r="FC236" s="125"/>
      <c r="FD236" s="125"/>
      <c r="FE236" s="125"/>
      <c r="FF236" s="125"/>
      <c r="FG236" s="125"/>
      <c r="FH236" s="125"/>
      <c r="FI236" s="125"/>
      <c r="FJ236" s="125"/>
      <c r="FK236" s="125"/>
      <c r="FL236" s="125"/>
      <c r="FM236" s="125"/>
      <c r="FN236" s="125"/>
      <c r="FO236" s="125"/>
      <c r="FP236" s="125"/>
      <c r="FQ236" s="125"/>
      <c r="FR236" s="125"/>
      <c r="FS236" s="125"/>
      <c r="FT236" s="125"/>
      <c r="FU236" s="125"/>
      <c r="FV236" s="125"/>
      <c r="FW236" s="125"/>
      <c r="FX236" s="125"/>
      <c r="FY236" s="125"/>
    </row>
    <row r="237" spans="4:181" ht="7.5" customHeight="1">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Y237" s="125"/>
      <c r="BZ237" s="125"/>
      <c r="CA237" s="125"/>
      <c r="CB237" s="125"/>
      <c r="CC237" s="125"/>
      <c r="CD237" s="125"/>
      <c r="CE237" s="125"/>
      <c r="CF237" s="125"/>
      <c r="CG237" s="125"/>
      <c r="CH237" s="125"/>
      <c r="CI237" s="125"/>
      <c r="CJ237" s="125"/>
      <c r="CK237" s="125"/>
      <c r="CL237" s="125"/>
      <c r="CM237" s="125"/>
      <c r="CN237" s="125"/>
      <c r="CO237" s="125"/>
      <c r="CP237" s="125"/>
      <c r="CQ237" s="125"/>
      <c r="CR237" s="125"/>
      <c r="CS237" s="125"/>
      <c r="CT237" s="125"/>
      <c r="CU237" s="125"/>
      <c r="CV237" s="125"/>
      <c r="CW237" s="125"/>
      <c r="CX237" s="125"/>
      <c r="CY237" s="125"/>
      <c r="CZ237" s="125"/>
      <c r="DA237" s="125"/>
      <c r="DB237" s="125"/>
      <c r="DC237" s="125"/>
      <c r="DD237" s="125"/>
      <c r="DE237" s="125"/>
      <c r="DF237" s="125"/>
      <c r="DG237" s="125"/>
      <c r="DH237" s="125"/>
      <c r="DI237" s="125"/>
      <c r="DJ237" s="125"/>
      <c r="DK237" s="125"/>
      <c r="DL237" s="125"/>
      <c r="DM237" s="125"/>
      <c r="DN237" s="125"/>
      <c r="DO237" s="125"/>
      <c r="DP237" s="125"/>
      <c r="DQ237" s="125"/>
      <c r="DR237" s="125"/>
      <c r="DS237" s="125"/>
      <c r="DT237" s="125"/>
      <c r="DU237" s="125"/>
      <c r="DV237" s="125"/>
      <c r="DW237" s="125"/>
      <c r="DX237" s="125"/>
      <c r="DY237" s="125"/>
      <c r="DZ237" s="125"/>
      <c r="EA237" s="125"/>
      <c r="EB237" s="125"/>
      <c r="EC237" s="125"/>
      <c r="ED237" s="125"/>
      <c r="EE237" s="125"/>
      <c r="EF237" s="125"/>
      <c r="EG237" s="125"/>
      <c r="EH237" s="125"/>
      <c r="EI237" s="125"/>
      <c r="EJ237" s="125"/>
      <c r="EK237" s="125"/>
      <c r="EL237" s="125"/>
      <c r="EM237" s="125"/>
      <c r="EN237" s="125"/>
      <c r="EO237" s="125"/>
      <c r="EP237" s="125"/>
      <c r="EQ237" s="125"/>
      <c r="ER237" s="125"/>
      <c r="ES237" s="125"/>
      <c r="ET237" s="125"/>
      <c r="EU237" s="125"/>
      <c r="EV237" s="125"/>
      <c r="EW237" s="125"/>
      <c r="EX237" s="125"/>
      <c r="EY237" s="125"/>
      <c r="EZ237" s="125"/>
      <c r="FA237" s="125"/>
      <c r="FB237" s="125"/>
      <c r="FC237" s="125"/>
      <c r="FD237" s="125"/>
      <c r="FE237" s="125"/>
      <c r="FF237" s="125"/>
      <c r="FG237" s="125"/>
      <c r="FH237" s="125"/>
      <c r="FI237" s="125"/>
      <c r="FJ237" s="125"/>
      <c r="FK237" s="125"/>
      <c r="FL237" s="125"/>
      <c r="FM237" s="125"/>
      <c r="FN237" s="125"/>
      <c r="FO237" s="125"/>
      <c r="FP237" s="125"/>
      <c r="FQ237" s="125"/>
      <c r="FR237" s="125"/>
      <c r="FS237" s="125"/>
      <c r="FT237" s="125"/>
      <c r="FU237" s="125"/>
      <c r="FV237" s="125"/>
      <c r="FW237" s="125"/>
      <c r="FX237" s="125"/>
      <c r="FY237" s="125"/>
    </row>
    <row r="238" spans="4:181" ht="7.5" customHeight="1">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Y238" s="125"/>
      <c r="BZ238" s="125"/>
      <c r="CA238" s="125"/>
      <c r="CB238" s="125"/>
      <c r="CC238" s="125"/>
      <c r="CD238" s="125"/>
      <c r="CE238" s="125"/>
      <c r="CF238" s="125"/>
      <c r="CG238" s="125"/>
      <c r="CH238" s="125"/>
      <c r="CI238" s="125"/>
      <c r="CJ238" s="125"/>
      <c r="CK238" s="125"/>
      <c r="CL238" s="125"/>
      <c r="CM238" s="125"/>
      <c r="CN238" s="125"/>
      <c r="CO238" s="125"/>
      <c r="CP238" s="125"/>
      <c r="CQ238" s="125"/>
      <c r="CR238" s="125"/>
      <c r="CS238" s="125"/>
      <c r="CT238" s="125"/>
      <c r="CU238" s="125"/>
      <c r="CV238" s="125"/>
      <c r="CW238" s="125"/>
      <c r="CX238" s="125"/>
      <c r="CY238" s="125"/>
      <c r="CZ238" s="125"/>
      <c r="DA238" s="125"/>
      <c r="DB238" s="125"/>
      <c r="DC238" s="125"/>
      <c r="DD238" s="125"/>
      <c r="DE238" s="125"/>
      <c r="DF238" s="125"/>
      <c r="DG238" s="125"/>
      <c r="DH238" s="125"/>
      <c r="DI238" s="125"/>
      <c r="DJ238" s="125"/>
      <c r="DK238" s="125"/>
      <c r="DL238" s="125"/>
      <c r="DM238" s="125"/>
      <c r="DN238" s="125"/>
      <c r="DO238" s="125"/>
      <c r="DP238" s="125"/>
      <c r="DQ238" s="125"/>
      <c r="DR238" s="125"/>
      <c r="DS238" s="125"/>
      <c r="DT238" s="125"/>
      <c r="DU238" s="125"/>
      <c r="DV238" s="125"/>
      <c r="DW238" s="125"/>
      <c r="DX238" s="125"/>
      <c r="DY238" s="125"/>
      <c r="DZ238" s="125"/>
      <c r="EA238" s="125"/>
      <c r="EB238" s="125"/>
      <c r="EC238" s="125"/>
      <c r="ED238" s="125"/>
      <c r="EE238" s="125"/>
      <c r="EF238" s="125"/>
      <c r="EG238" s="125"/>
      <c r="EH238" s="125"/>
      <c r="EI238" s="125"/>
      <c r="EJ238" s="125"/>
      <c r="EK238" s="125"/>
      <c r="EL238" s="125"/>
      <c r="EM238" s="125"/>
      <c r="EN238" s="125"/>
      <c r="EO238" s="125"/>
      <c r="EP238" s="125"/>
      <c r="EQ238" s="125"/>
      <c r="ER238" s="125"/>
      <c r="ES238" s="125"/>
      <c r="ET238" s="125"/>
      <c r="EU238" s="125"/>
      <c r="EV238" s="125"/>
      <c r="EW238" s="125"/>
      <c r="EX238" s="125"/>
      <c r="EY238" s="125"/>
      <c r="EZ238" s="125"/>
      <c r="FA238" s="125"/>
      <c r="FB238" s="125"/>
      <c r="FC238" s="125"/>
      <c r="FD238" s="125"/>
      <c r="FE238" s="125"/>
      <c r="FF238" s="125"/>
      <c r="FG238" s="125"/>
      <c r="FH238" s="125"/>
      <c r="FI238" s="125"/>
      <c r="FJ238" s="125"/>
      <c r="FK238" s="125"/>
      <c r="FL238" s="125"/>
      <c r="FM238" s="125"/>
      <c r="FN238" s="125"/>
      <c r="FO238" s="125"/>
      <c r="FP238" s="125"/>
      <c r="FQ238" s="125"/>
      <c r="FR238" s="125"/>
      <c r="FS238" s="125"/>
      <c r="FT238" s="125"/>
      <c r="FU238" s="125"/>
      <c r="FV238" s="125"/>
      <c r="FW238" s="125"/>
      <c r="FX238" s="125"/>
      <c r="FY238" s="125"/>
    </row>
    <row r="239" spans="4:181" ht="7.5" customHeight="1">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Y239" s="125"/>
      <c r="BZ239" s="125"/>
      <c r="CA239" s="125"/>
      <c r="CB239" s="125"/>
      <c r="CC239" s="125"/>
      <c r="CD239" s="125"/>
      <c r="CE239" s="125"/>
      <c r="CF239" s="125"/>
      <c r="CG239" s="125"/>
      <c r="CH239" s="125"/>
      <c r="CI239" s="125"/>
      <c r="CJ239" s="125"/>
      <c r="CK239" s="125"/>
      <c r="CL239" s="125"/>
      <c r="CM239" s="125"/>
      <c r="CN239" s="125"/>
      <c r="CO239" s="125"/>
      <c r="CP239" s="125"/>
      <c r="CQ239" s="125"/>
      <c r="CR239" s="125"/>
      <c r="CS239" s="125"/>
      <c r="CT239" s="125"/>
      <c r="CU239" s="125"/>
      <c r="CV239" s="125"/>
      <c r="CW239" s="125"/>
      <c r="CX239" s="125"/>
      <c r="CY239" s="125"/>
      <c r="CZ239" s="125"/>
      <c r="DA239" s="125"/>
      <c r="DB239" s="125"/>
      <c r="DC239" s="125"/>
      <c r="DD239" s="125"/>
      <c r="DE239" s="125"/>
      <c r="DF239" s="125"/>
      <c r="DG239" s="125"/>
      <c r="DH239" s="125"/>
      <c r="DI239" s="125"/>
      <c r="DJ239" s="125"/>
      <c r="DK239" s="125"/>
      <c r="DL239" s="125"/>
      <c r="DM239" s="125"/>
      <c r="DN239" s="125"/>
      <c r="DO239" s="125"/>
      <c r="DP239" s="125"/>
      <c r="DQ239" s="125"/>
      <c r="DR239" s="125"/>
      <c r="DS239" s="125"/>
      <c r="DT239" s="125"/>
      <c r="DU239" s="125"/>
      <c r="DV239" s="125"/>
      <c r="DW239" s="125"/>
      <c r="DX239" s="125"/>
      <c r="DY239" s="125"/>
      <c r="DZ239" s="125"/>
      <c r="EA239" s="125"/>
      <c r="EB239" s="125"/>
      <c r="EC239" s="125"/>
      <c r="ED239" s="125"/>
      <c r="EE239" s="125"/>
      <c r="EF239" s="125"/>
      <c r="EG239" s="125"/>
      <c r="EH239" s="125"/>
      <c r="EI239" s="125"/>
      <c r="EJ239" s="125"/>
      <c r="EK239" s="125"/>
      <c r="EL239" s="125"/>
      <c r="EM239" s="125"/>
      <c r="EN239" s="125"/>
      <c r="EO239" s="125"/>
      <c r="EP239" s="125"/>
      <c r="EQ239" s="125"/>
      <c r="ER239" s="125"/>
      <c r="ES239" s="125"/>
      <c r="ET239" s="125"/>
      <c r="EU239" s="125"/>
      <c r="EV239" s="125"/>
      <c r="EW239" s="125"/>
      <c r="EX239" s="125"/>
      <c r="EY239" s="125"/>
      <c r="EZ239" s="125"/>
      <c r="FA239" s="125"/>
      <c r="FB239" s="125"/>
      <c r="FC239" s="125"/>
      <c r="FD239" s="125"/>
      <c r="FE239" s="125"/>
      <c r="FF239" s="125"/>
      <c r="FG239" s="125"/>
      <c r="FH239" s="125"/>
      <c r="FI239" s="125"/>
      <c r="FJ239" s="125"/>
      <c r="FK239" s="125"/>
      <c r="FL239" s="125"/>
      <c r="FM239" s="125"/>
      <c r="FN239" s="125"/>
      <c r="FO239" s="125"/>
      <c r="FP239" s="125"/>
      <c r="FQ239" s="125"/>
      <c r="FR239" s="125"/>
      <c r="FS239" s="125"/>
      <c r="FT239" s="125"/>
      <c r="FU239" s="125"/>
      <c r="FV239" s="125"/>
      <c r="FW239" s="125"/>
      <c r="FX239" s="125"/>
      <c r="FY239" s="125"/>
    </row>
    <row r="240" spans="4:181" ht="7.5" customHeight="1">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Y240" s="125"/>
      <c r="BZ240" s="125"/>
      <c r="CA240" s="125"/>
      <c r="CB240" s="125"/>
      <c r="CC240" s="125"/>
      <c r="CD240" s="125"/>
      <c r="CE240" s="125"/>
      <c r="CF240" s="125"/>
      <c r="CG240" s="125"/>
      <c r="CH240" s="125"/>
      <c r="CI240" s="125"/>
      <c r="CJ240" s="125"/>
      <c r="CK240" s="125"/>
      <c r="CL240" s="125"/>
      <c r="CM240" s="125"/>
      <c r="CN240" s="125"/>
      <c r="CO240" s="125"/>
      <c r="CP240" s="125"/>
      <c r="CQ240" s="125"/>
      <c r="CR240" s="125"/>
      <c r="CS240" s="125"/>
      <c r="CT240" s="125"/>
      <c r="CU240" s="125"/>
      <c r="CV240" s="125"/>
      <c r="CW240" s="125"/>
      <c r="CX240" s="125"/>
      <c r="CY240" s="125"/>
      <c r="CZ240" s="125"/>
      <c r="DA240" s="125"/>
      <c r="DB240" s="125"/>
      <c r="DC240" s="125"/>
      <c r="DD240" s="125"/>
      <c r="DE240" s="125"/>
      <c r="DF240" s="125"/>
      <c r="DG240" s="125"/>
      <c r="DH240" s="125"/>
      <c r="DI240" s="125"/>
      <c r="DJ240" s="125"/>
      <c r="DK240" s="125"/>
      <c r="DL240" s="125"/>
      <c r="DM240" s="125"/>
      <c r="DN240" s="125"/>
      <c r="DO240" s="125"/>
      <c r="DP240" s="125"/>
      <c r="DQ240" s="125"/>
      <c r="DR240" s="125"/>
      <c r="DS240" s="125"/>
      <c r="DT240" s="125"/>
      <c r="DU240" s="125"/>
      <c r="DV240" s="125"/>
      <c r="DW240" s="125"/>
      <c r="DX240" s="125"/>
      <c r="DY240" s="125"/>
      <c r="DZ240" s="125"/>
      <c r="EA240" s="125"/>
      <c r="EB240" s="125"/>
      <c r="EC240" s="125"/>
      <c r="ED240" s="125"/>
      <c r="EE240" s="125"/>
      <c r="EF240" s="125"/>
      <c r="EG240" s="125"/>
      <c r="EH240" s="125"/>
      <c r="EI240" s="125"/>
      <c r="EJ240" s="125"/>
      <c r="EK240" s="125"/>
      <c r="EL240" s="125"/>
      <c r="EM240" s="125"/>
      <c r="EN240" s="125"/>
      <c r="EO240" s="125"/>
      <c r="EP240" s="125"/>
      <c r="EQ240" s="125"/>
      <c r="ER240" s="125"/>
      <c r="ES240" s="125"/>
      <c r="ET240" s="125"/>
      <c r="EU240" s="125"/>
      <c r="EV240" s="125"/>
      <c r="EW240" s="125"/>
      <c r="EX240" s="125"/>
      <c r="EY240" s="125"/>
      <c r="EZ240" s="125"/>
      <c r="FA240" s="125"/>
      <c r="FB240" s="125"/>
      <c r="FC240" s="125"/>
      <c r="FD240" s="125"/>
      <c r="FE240" s="125"/>
      <c r="FF240" s="125"/>
      <c r="FG240" s="125"/>
      <c r="FH240" s="125"/>
      <c r="FI240" s="125"/>
      <c r="FJ240" s="125"/>
      <c r="FK240" s="125"/>
      <c r="FL240" s="125"/>
      <c r="FM240" s="125"/>
      <c r="FN240" s="125"/>
      <c r="FO240" s="125"/>
      <c r="FP240" s="125"/>
      <c r="FQ240" s="125"/>
      <c r="FR240" s="125"/>
      <c r="FS240" s="125"/>
      <c r="FT240" s="125"/>
      <c r="FU240" s="125"/>
      <c r="FV240" s="125"/>
      <c r="FW240" s="125"/>
      <c r="FX240" s="125"/>
      <c r="FY240" s="125"/>
    </row>
    <row r="241" spans="4:181" ht="7.5" customHeight="1">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Y241" s="125"/>
      <c r="BZ241" s="125"/>
      <c r="CA241" s="125"/>
      <c r="CB241" s="125"/>
      <c r="CC241" s="125"/>
      <c r="CD241" s="125"/>
      <c r="CE241" s="125"/>
      <c r="CF241" s="125"/>
      <c r="CG241" s="125"/>
      <c r="CH241" s="125"/>
      <c r="CI241" s="125"/>
      <c r="CJ241" s="125"/>
      <c r="CK241" s="125"/>
      <c r="CL241" s="125"/>
      <c r="CM241" s="125"/>
      <c r="CN241" s="125"/>
      <c r="CO241" s="125"/>
      <c r="CP241" s="125"/>
      <c r="CQ241" s="125"/>
      <c r="CR241" s="125"/>
      <c r="CS241" s="125"/>
      <c r="CT241" s="125"/>
      <c r="CU241" s="125"/>
      <c r="CV241" s="125"/>
      <c r="CW241" s="125"/>
      <c r="CX241" s="125"/>
      <c r="CY241" s="125"/>
      <c r="CZ241" s="125"/>
      <c r="DA241" s="125"/>
      <c r="DB241" s="125"/>
      <c r="DC241" s="125"/>
      <c r="DD241" s="125"/>
      <c r="DE241" s="125"/>
      <c r="DF241" s="125"/>
      <c r="DG241" s="125"/>
      <c r="DH241" s="125"/>
      <c r="DI241" s="125"/>
      <c r="DJ241" s="125"/>
      <c r="DK241" s="125"/>
      <c r="DL241" s="125"/>
      <c r="DM241" s="125"/>
      <c r="DN241" s="125"/>
      <c r="DO241" s="125"/>
      <c r="DP241" s="125"/>
      <c r="DQ241" s="125"/>
      <c r="DR241" s="125"/>
      <c r="DS241" s="125"/>
      <c r="DT241" s="125"/>
      <c r="DU241" s="125"/>
      <c r="DV241" s="125"/>
      <c r="DW241" s="125"/>
      <c r="DX241" s="125"/>
      <c r="DY241" s="125"/>
      <c r="DZ241" s="125"/>
      <c r="EA241" s="125"/>
      <c r="EB241" s="125"/>
      <c r="EC241" s="125"/>
      <c r="ED241" s="125"/>
      <c r="EE241" s="125"/>
      <c r="EF241" s="125"/>
      <c r="EG241" s="125"/>
      <c r="EH241" s="125"/>
      <c r="EI241" s="125"/>
      <c r="EJ241" s="125"/>
      <c r="EK241" s="125"/>
      <c r="EL241" s="125"/>
      <c r="EM241" s="125"/>
      <c r="EN241" s="125"/>
      <c r="EO241" s="125"/>
      <c r="EP241" s="125"/>
      <c r="EQ241" s="125"/>
      <c r="ER241" s="125"/>
      <c r="ES241" s="125"/>
      <c r="ET241" s="125"/>
      <c r="EU241" s="125"/>
      <c r="EV241" s="125"/>
      <c r="EW241" s="125"/>
      <c r="EX241" s="125"/>
      <c r="EY241" s="125"/>
      <c r="EZ241" s="125"/>
      <c r="FA241" s="125"/>
      <c r="FB241" s="125"/>
      <c r="FC241" s="125"/>
      <c r="FD241" s="125"/>
      <c r="FE241" s="125"/>
      <c r="FF241" s="125"/>
      <c r="FG241" s="125"/>
      <c r="FH241" s="125"/>
      <c r="FI241" s="125"/>
      <c r="FJ241" s="125"/>
      <c r="FK241" s="125"/>
      <c r="FL241" s="125"/>
      <c r="FM241" s="125"/>
      <c r="FN241" s="125"/>
      <c r="FO241" s="125"/>
      <c r="FP241" s="125"/>
      <c r="FQ241" s="125"/>
      <c r="FR241" s="125"/>
      <c r="FS241" s="125"/>
      <c r="FT241" s="125"/>
      <c r="FU241" s="125"/>
      <c r="FV241" s="125"/>
      <c r="FW241" s="125"/>
      <c r="FX241" s="125"/>
      <c r="FY241" s="125"/>
    </row>
    <row r="242" spans="4:181" ht="7.5" customHeight="1">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Y242" s="125"/>
      <c r="BZ242" s="125"/>
      <c r="CA242" s="125"/>
      <c r="CB242" s="125"/>
      <c r="CC242" s="125"/>
      <c r="CD242" s="125"/>
      <c r="CE242" s="125"/>
      <c r="CF242" s="125"/>
      <c r="CG242" s="125"/>
      <c r="CH242" s="125"/>
      <c r="CI242" s="125"/>
      <c r="CJ242" s="125"/>
      <c r="CK242" s="125"/>
      <c r="CL242" s="125"/>
      <c r="CM242" s="125"/>
      <c r="CN242" s="125"/>
      <c r="CO242" s="125"/>
      <c r="CP242" s="125"/>
      <c r="CQ242" s="125"/>
      <c r="CR242" s="125"/>
      <c r="CS242" s="125"/>
      <c r="CT242" s="125"/>
      <c r="CU242" s="125"/>
      <c r="CV242" s="125"/>
      <c r="CW242" s="125"/>
      <c r="CX242" s="125"/>
      <c r="CY242" s="125"/>
      <c r="CZ242" s="125"/>
      <c r="DA242" s="125"/>
      <c r="DB242" s="125"/>
      <c r="DC242" s="125"/>
      <c r="DD242" s="125"/>
      <c r="DE242" s="125"/>
      <c r="DF242" s="125"/>
      <c r="DG242" s="125"/>
      <c r="DH242" s="125"/>
      <c r="DI242" s="125"/>
      <c r="DJ242" s="125"/>
      <c r="DK242" s="125"/>
      <c r="DL242" s="125"/>
      <c r="DM242" s="125"/>
      <c r="DN242" s="125"/>
      <c r="DO242" s="125"/>
      <c r="DP242" s="125"/>
      <c r="DQ242" s="125"/>
      <c r="DR242" s="125"/>
      <c r="DS242" s="125"/>
      <c r="DT242" s="125"/>
      <c r="DU242" s="125"/>
      <c r="DV242" s="125"/>
      <c r="DW242" s="125"/>
      <c r="DX242" s="125"/>
      <c r="DY242" s="125"/>
      <c r="DZ242" s="125"/>
      <c r="EA242" s="125"/>
      <c r="EB242" s="125"/>
      <c r="EC242" s="125"/>
      <c r="ED242" s="125"/>
      <c r="EE242" s="125"/>
      <c r="EF242" s="125"/>
      <c r="EG242" s="125"/>
      <c r="EH242" s="125"/>
      <c r="EI242" s="125"/>
      <c r="EJ242" s="125"/>
      <c r="EK242" s="125"/>
      <c r="EL242" s="125"/>
      <c r="EM242" s="125"/>
      <c r="EN242" s="125"/>
      <c r="EO242" s="125"/>
      <c r="EP242" s="125"/>
      <c r="EQ242" s="125"/>
      <c r="ER242" s="125"/>
      <c r="ES242" s="125"/>
      <c r="ET242" s="125"/>
      <c r="EU242" s="125"/>
      <c r="EV242" s="125"/>
      <c r="EW242" s="125"/>
      <c r="EX242" s="125"/>
      <c r="EY242" s="125"/>
      <c r="EZ242" s="125"/>
      <c r="FA242" s="125"/>
      <c r="FB242" s="125"/>
      <c r="FC242" s="125"/>
      <c r="FD242" s="125"/>
      <c r="FE242" s="125"/>
      <c r="FF242" s="125"/>
      <c r="FG242" s="125"/>
      <c r="FH242" s="125"/>
      <c r="FI242" s="125"/>
      <c r="FJ242" s="125"/>
      <c r="FK242" s="125"/>
      <c r="FL242" s="125"/>
      <c r="FM242" s="125"/>
      <c r="FN242" s="125"/>
      <c r="FO242" s="125"/>
      <c r="FP242" s="125"/>
      <c r="FQ242" s="125"/>
      <c r="FR242" s="125"/>
      <c r="FS242" s="125"/>
      <c r="FT242" s="125"/>
      <c r="FU242" s="125"/>
      <c r="FV242" s="125"/>
      <c r="FW242" s="125"/>
      <c r="FX242" s="125"/>
      <c r="FY242" s="125"/>
    </row>
    <row r="243" spans="4:181" ht="7.5" customHeight="1">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Y243" s="125"/>
      <c r="BZ243" s="125"/>
      <c r="CA243" s="125"/>
      <c r="CB243" s="125"/>
      <c r="CC243" s="125"/>
      <c r="CD243" s="125"/>
      <c r="CE243" s="125"/>
      <c r="CF243" s="125"/>
      <c r="CG243" s="125"/>
      <c r="CH243" s="125"/>
      <c r="CI243" s="125"/>
      <c r="CJ243" s="125"/>
      <c r="CK243" s="125"/>
      <c r="CL243" s="125"/>
      <c r="CM243" s="125"/>
      <c r="CN243" s="125"/>
      <c r="CO243" s="125"/>
      <c r="CP243" s="125"/>
      <c r="CQ243" s="125"/>
      <c r="CR243" s="125"/>
      <c r="CS243" s="125"/>
      <c r="CT243" s="125"/>
      <c r="CU243" s="125"/>
      <c r="CV243" s="125"/>
      <c r="CW243" s="125"/>
      <c r="CX243" s="125"/>
      <c r="CY243" s="125"/>
      <c r="CZ243" s="125"/>
      <c r="DA243" s="125"/>
      <c r="DB243" s="125"/>
      <c r="DC243" s="125"/>
      <c r="DD243" s="125"/>
      <c r="DE243" s="125"/>
      <c r="DF243" s="125"/>
      <c r="DG243" s="125"/>
      <c r="DH243" s="125"/>
      <c r="DI243" s="125"/>
      <c r="DJ243" s="125"/>
      <c r="DK243" s="125"/>
      <c r="DL243" s="125"/>
      <c r="DM243" s="125"/>
      <c r="DN243" s="125"/>
      <c r="DO243" s="125"/>
      <c r="DP243" s="125"/>
      <c r="DQ243" s="125"/>
      <c r="DR243" s="125"/>
      <c r="DS243" s="125"/>
      <c r="DT243" s="125"/>
      <c r="DU243" s="125"/>
      <c r="DV243" s="125"/>
      <c r="DW243" s="125"/>
      <c r="DX243" s="125"/>
      <c r="DY243" s="125"/>
      <c r="DZ243" s="125"/>
      <c r="EA243" s="125"/>
      <c r="EB243" s="125"/>
      <c r="EC243" s="125"/>
      <c r="ED243" s="125"/>
      <c r="EE243" s="125"/>
      <c r="EF243" s="125"/>
      <c r="EG243" s="125"/>
      <c r="EH243" s="125"/>
      <c r="EI243" s="125"/>
      <c r="EJ243" s="125"/>
      <c r="EK243" s="125"/>
      <c r="EL243" s="125"/>
      <c r="EM243" s="125"/>
      <c r="EN243" s="125"/>
      <c r="EO243" s="125"/>
      <c r="EP243" s="125"/>
      <c r="EQ243" s="125"/>
      <c r="ER243" s="125"/>
      <c r="ES243" s="125"/>
      <c r="ET243" s="125"/>
      <c r="EU243" s="125"/>
      <c r="EV243" s="125"/>
      <c r="EW243" s="125"/>
      <c r="EX243" s="125"/>
      <c r="EY243" s="125"/>
      <c r="EZ243" s="125"/>
      <c r="FA243" s="125"/>
      <c r="FB243" s="125"/>
      <c r="FC243" s="125"/>
      <c r="FD243" s="125"/>
      <c r="FE243" s="125"/>
      <c r="FF243" s="125"/>
      <c r="FG243" s="125"/>
      <c r="FH243" s="125"/>
      <c r="FI243" s="125"/>
      <c r="FJ243" s="125"/>
      <c r="FK243" s="125"/>
      <c r="FL243" s="125"/>
      <c r="FM243" s="125"/>
      <c r="FN243" s="125"/>
      <c r="FO243" s="125"/>
      <c r="FP243" s="125"/>
      <c r="FQ243" s="125"/>
      <c r="FR243" s="125"/>
      <c r="FS243" s="125"/>
      <c r="FT243" s="125"/>
      <c r="FU243" s="125"/>
      <c r="FV243" s="125"/>
      <c r="FW243" s="125"/>
      <c r="FX243" s="125"/>
      <c r="FY243" s="125"/>
    </row>
    <row r="244" spans="4:181" ht="7.5" customHeight="1">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Y244" s="125"/>
      <c r="BZ244" s="125"/>
      <c r="CA244" s="125"/>
      <c r="CB244" s="125"/>
      <c r="CC244" s="125"/>
      <c r="CD244" s="125"/>
      <c r="CE244" s="125"/>
      <c r="CF244" s="125"/>
      <c r="CG244" s="125"/>
      <c r="CH244" s="125"/>
      <c r="CI244" s="125"/>
      <c r="CJ244" s="125"/>
      <c r="CK244" s="125"/>
      <c r="CL244" s="125"/>
      <c r="CM244" s="125"/>
      <c r="CN244" s="125"/>
      <c r="CO244" s="125"/>
      <c r="CP244" s="125"/>
      <c r="CQ244" s="125"/>
      <c r="CR244" s="125"/>
      <c r="CS244" s="125"/>
      <c r="CT244" s="125"/>
      <c r="CU244" s="125"/>
      <c r="CV244" s="125"/>
      <c r="CW244" s="125"/>
      <c r="CX244" s="125"/>
      <c r="CY244" s="125"/>
      <c r="CZ244" s="125"/>
      <c r="DA244" s="125"/>
      <c r="DB244" s="125"/>
      <c r="DC244" s="125"/>
      <c r="DD244" s="125"/>
      <c r="DE244" s="125"/>
      <c r="DF244" s="125"/>
      <c r="DG244" s="125"/>
      <c r="DH244" s="125"/>
      <c r="DI244" s="125"/>
      <c r="DJ244" s="125"/>
      <c r="DK244" s="125"/>
      <c r="DL244" s="125"/>
      <c r="DM244" s="125"/>
      <c r="DN244" s="125"/>
      <c r="DO244" s="125"/>
      <c r="DP244" s="125"/>
      <c r="DQ244" s="125"/>
      <c r="DR244" s="125"/>
      <c r="DS244" s="125"/>
      <c r="DT244" s="125"/>
      <c r="DU244" s="125"/>
      <c r="DV244" s="125"/>
      <c r="DW244" s="125"/>
      <c r="DX244" s="125"/>
      <c r="DY244" s="125"/>
      <c r="DZ244" s="125"/>
      <c r="EA244" s="125"/>
      <c r="EB244" s="125"/>
      <c r="EC244" s="125"/>
      <c r="ED244" s="125"/>
      <c r="EE244" s="125"/>
      <c r="EF244" s="125"/>
      <c r="EG244" s="125"/>
      <c r="EH244" s="125"/>
      <c r="EI244" s="125"/>
      <c r="EJ244" s="125"/>
      <c r="EK244" s="125"/>
      <c r="EL244" s="125"/>
      <c r="EM244" s="125"/>
      <c r="EN244" s="125"/>
      <c r="EO244" s="125"/>
      <c r="EP244" s="125"/>
      <c r="EQ244" s="125"/>
      <c r="ER244" s="125"/>
      <c r="ES244" s="125"/>
      <c r="ET244" s="125"/>
      <c r="EU244" s="125"/>
      <c r="EV244" s="125"/>
      <c r="EW244" s="125"/>
      <c r="EX244" s="125"/>
      <c r="EY244" s="125"/>
      <c r="EZ244" s="125"/>
      <c r="FA244" s="125"/>
      <c r="FB244" s="125"/>
      <c r="FC244" s="125"/>
      <c r="FD244" s="125"/>
      <c r="FE244" s="125"/>
      <c r="FF244" s="125"/>
      <c r="FG244" s="125"/>
      <c r="FH244" s="125"/>
      <c r="FI244" s="125"/>
      <c r="FJ244" s="125"/>
      <c r="FK244" s="125"/>
      <c r="FL244" s="125"/>
      <c r="FM244" s="125"/>
      <c r="FN244" s="125"/>
      <c r="FO244" s="125"/>
      <c r="FP244" s="125"/>
      <c r="FQ244" s="125"/>
      <c r="FR244" s="125"/>
      <c r="FS244" s="125"/>
      <c r="FT244" s="125"/>
      <c r="FU244" s="125"/>
      <c r="FV244" s="125"/>
      <c r="FW244" s="125"/>
      <c r="FX244" s="125"/>
      <c r="FY244" s="125"/>
    </row>
    <row r="245" spans="4:181" ht="7.5" customHeight="1">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Y245" s="125"/>
      <c r="BZ245" s="125"/>
      <c r="CA245" s="125"/>
      <c r="CB245" s="125"/>
      <c r="CC245" s="125"/>
      <c r="CD245" s="125"/>
      <c r="CE245" s="125"/>
      <c r="CF245" s="125"/>
      <c r="CG245" s="125"/>
      <c r="CH245" s="125"/>
      <c r="CI245" s="125"/>
      <c r="CJ245" s="125"/>
      <c r="CK245" s="125"/>
      <c r="CL245" s="125"/>
      <c r="CM245" s="125"/>
      <c r="CN245" s="125"/>
      <c r="CO245" s="125"/>
      <c r="CP245" s="125"/>
      <c r="CQ245" s="125"/>
      <c r="CR245" s="125"/>
      <c r="CS245" s="125"/>
      <c r="CT245" s="125"/>
      <c r="CU245" s="125"/>
      <c r="CV245" s="125"/>
      <c r="CW245" s="125"/>
      <c r="CX245" s="125"/>
      <c r="CY245" s="125"/>
      <c r="CZ245" s="125"/>
      <c r="DA245" s="125"/>
      <c r="DB245" s="125"/>
      <c r="DC245" s="125"/>
      <c r="DD245" s="125"/>
      <c r="DE245" s="125"/>
      <c r="DF245" s="125"/>
      <c r="DG245" s="125"/>
      <c r="DH245" s="125"/>
      <c r="DI245" s="125"/>
      <c r="DJ245" s="125"/>
      <c r="DK245" s="125"/>
      <c r="DL245" s="125"/>
      <c r="DM245" s="125"/>
      <c r="DN245" s="125"/>
      <c r="DO245" s="125"/>
      <c r="DP245" s="125"/>
      <c r="DQ245" s="125"/>
      <c r="DR245" s="125"/>
      <c r="DS245" s="125"/>
      <c r="DT245" s="125"/>
      <c r="DU245" s="125"/>
      <c r="DV245" s="125"/>
      <c r="DW245" s="125"/>
      <c r="DX245" s="125"/>
      <c r="DY245" s="125"/>
      <c r="DZ245" s="125"/>
      <c r="EA245" s="125"/>
      <c r="EB245" s="125"/>
      <c r="EC245" s="125"/>
      <c r="ED245" s="125"/>
      <c r="EE245" s="125"/>
      <c r="EF245" s="125"/>
      <c r="EG245" s="125"/>
      <c r="EH245" s="125"/>
      <c r="EI245" s="125"/>
      <c r="EJ245" s="125"/>
      <c r="EK245" s="125"/>
      <c r="EL245" s="125"/>
      <c r="EM245" s="125"/>
      <c r="EN245" s="125"/>
      <c r="EO245" s="125"/>
      <c r="EP245" s="125"/>
      <c r="EQ245" s="125"/>
      <c r="ER245" s="125"/>
      <c r="ES245" s="125"/>
      <c r="ET245" s="125"/>
      <c r="EU245" s="125"/>
      <c r="EV245" s="125"/>
      <c r="EW245" s="125"/>
      <c r="EX245" s="125"/>
      <c r="EY245" s="125"/>
      <c r="EZ245" s="125"/>
      <c r="FA245" s="125"/>
      <c r="FB245" s="125"/>
      <c r="FC245" s="125"/>
      <c r="FD245" s="125"/>
      <c r="FE245" s="125"/>
      <c r="FF245" s="125"/>
      <c r="FG245" s="125"/>
      <c r="FH245" s="125"/>
      <c r="FI245" s="125"/>
      <c r="FJ245" s="125"/>
      <c r="FK245" s="125"/>
      <c r="FL245" s="125"/>
      <c r="FM245" s="125"/>
      <c r="FN245" s="125"/>
      <c r="FO245" s="125"/>
      <c r="FP245" s="125"/>
      <c r="FQ245" s="125"/>
      <c r="FR245" s="125"/>
      <c r="FS245" s="125"/>
      <c r="FT245" s="125"/>
      <c r="FU245" s="125"/>
      <c r="FV245" s="125"/>
      <c r="FW245" s="125"/>
      <c r="FX245" s="125"/>
      <c r="FY245" s="125"/>
    </row>
    <row r="246" spans="4:181" ht="7.5" customHeight="1">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Y246" s="125"/>
      <c r="BZ246" s="125"/>
      <c r="CA246" s="125"/>
      <c r="CB246" s="125"/>
      <c r="CC246" s="125"/>
      <c r="CD246" s="125"/>
      <c r="CE246" s="125"/>
      <c r="CF246" s="125"/>
      <c r="CG246" s="125"/>
      <c r="CH246" s="125"/>
      <c r="CI246" s="125"/>
      <c r="CJ246" s="125"/>
      <c r="CK246" s="125"/>
      <c r="CL246" s="125"/>
      <c r="CM246" s="125"/>
      <c r="CN246" s="125"/>
      <c r="CO246" s="125"/>
      <c r="CP246" s="125"/>
      <c r="CQ246" s="125"/>
      <c r="CR246" s="125"/>
      <c r="CS246" s="125"/>
      <c r="CT246" s="125"/>
      <c r="CU246" s="125"/>
      <c r="CV246" s="125"/>
      <c r="CW246" s="125"/>
      <c r="CX246" s="125"/>
      <c r="CY246" s="125"/>
      <c r="CZ246" s="125"/>
      <c r="DA246" s="125"/>
      <c r="DB246" s="125"/>
      <c r="DC246" s="125"/>
      <c r="DD246" s="125"/>
      <c r="DE246" s="125"/>
      <c r="DF246" s="125"/>
      <c r="DG246" s="125"/>
      <c r="DH246" s="125"/>
      <c r="DI246" s="125"/>
      <c r="DJ246" s="125"/>
      <c r="DK246" s="125"/>
      <c r="DL246" s="125"/>
      <c r="DM246" s="125"/>
      <c r="DN246" s="125"/>
      <c r="DO246" s="125"/>
      <c r="DP246" s="125"/>
      <c r="DQ246" s="125"/>
      <c r="DR246" s="125"/>
      <c r="DS246" s="125"/>
      <c r="DT246" s="125"/>
      <c r="DU246" s="125"/>
      <c r="DV246" s="125"/>
      <c r="DW246" s="125"/>
      <c r="DX246" s="125"/>
      <c r="DY246" s="125"/>
      <c r="DZ246" s="125"/>
      <c r="EA246" s="125"/>
      <c r="EB246" s="125"/>
      <c r="EC246" s="125"/>
      <c r="ED246" s="125"/>
      <c r="EE246" s="125"/>
      <c r="EF246" s="125"/>
      <c r="EG246" s="125"/>
      <c r="EH246" s="125"/>
      <c r="EI246" s="125"/>
      <c r="EJ246" s="125"/>
      <c r="EK246" s="125"/>
      <c r="EL246" s="125"/>
      <c r="EM246" s="125"/>
      <c r="EN246" s="125"/>
      <c r="EO246" s="125"/>
      <c r="EP246" s="125"/>
      <c r="EQ246" s="125"/>
      <c r="ER246" s="125"/>
      <c r="ES246" s="125"/>
      <c r="ET246" s="125"/>
      <c r="EU246" s="125"/>
      <c r="EV246" s="125"/>
      <c r="EW246" s="125"/>
      <c r="EX246" s="125"/>
      <c r="EY246" s="125"/>
      <c r="EZ246" s="125"/>
      <c r="FA246" s="125"/>
      <c r="FB246" s="125"/>
      <c r="FC246" s="125"/>
      <c r="FD246" s="125"/>
      <c r="FE246" s="125"/>
      <c r="FF246" s="125"/>
      <c r="FG246" s="125"/>
      <c r="FH246" s="125"/>
      <c r="FI246" s="125"/>
      <c r="FJ246" s="125"/>
      <c r="FK246" s="125"/>
      <c r="FL246" s="125"/>
      <c r="FM246" s="125"/>
      <c r="FN246" s="125"/>
      <c r="FO246" s="125"/>
      <c r="FP246" s="125"/>
      <c r="FQ246" s="125"/>
      <c r="FR246" s="125"/>
      <c r="FS246" s="125"/>
      <c r="FT246" s="125"/>
      <c r="FU246" s="125"/>
      <c r="FV246" s="125"/>
      <c r="FW246" s="125"/>
      <c r="FX246" s="125"/>
      <c r="FY246" s="125"/>
    </row>
    <row r="247" spans="4:181" ht="7.5" customHeight="1">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Y247" s="125"/>
      <c r="BZ247" s="125"/>
      <c r="CA247" s="125"/>
      <c r="CB247" s="125"/>
      <c r="CC247" s="125"/>
      <c r="CD247" s="125"/>
      <c r="CE247" s="125"/>
      <c r="CF247" s="125"/>
      <c r="CG247" s="125"/>
      <c r="CH247" s="125"/>
      <c r="CI247" s="125"/>
      <c r="CJ247" s="125"/>
      <c r="CK247" s="125"/>
      <c r="CL247" s="125"/>
      <c r="CM247" s="125"/>
      <c r="CN247" s="125"/>
      <c r="CO247" s="125"/>
      <c r="CP247" s="125"/>
      <c r="CQ247" s="125"/>
      <c r="CR247" s="125"/>
      <c r="CS247" s="125"/>
      <c r="CT247" s="125"/>
      <c r="CU247" s="125"/>
      <c r="CV247" s="125"/>
      <c r="CW247" s="125"/>
      <c r="CX247" s="125"/>
      <c r="CY247" s="125"/>
      <c r="CZ247" s="125"/>
      <c r="DA247" s="125"/>
      <c r="DB247" s="125"/>
      <c r="DC247" s="125"/>
      <c r="DD247" s="125"/>
      <c r="DE247" s="125"/>
      <c r="DF247" s="125"/>
      <c r="DG247" s="125"/>
      <c r="DH247" s="125"/>
      <c r="DI247" s="125"/>
      <c r="DJ247" s="125"/>
      <c r="DK247" s="125"/>
      <c r="DL247" s="125"/>
      <c r="DM247" s="125"/>
      <c r="DN247" s="125"/>
      <c r="DO247" s="125"/>
      <c r="DP247" s="125"/>
      <c r="DQ247" s="125"/>
      <c r="DR247" s="125"/>
      <c r="DS247" s="125"/>
      <c r="DT247" s="125"/>
      <c r="DU247" s="125"/>
      <c r="DV247" s="125"/>
      <c r="DW247" s="125"/>
      <c r="DX247" s="125"/>
      <c r="DY247" s="125"/>
      <c r="DZ247" s="125"/>
      <c r="EA247" s="125"/>
      <c r="EB247" s="125"/>
      <c r="EC247" s="125"/>
      <c r="ED247" s="125"/>
      <c r="EE247" s="125"/>
      <c r="EF247" s="125"/>
      <c r="EG247" s="125"/>
      <c r="EH247" s="125"/>
      <c r="EI247" s="125"/>
      <c r="EJ247" s="125"/>
      <c r="EK247" s="125"/>
      <c r="EL247" s="125"/>
      <c r="EM247" s="125"/>
      <c r="EN247" s="125"/>
      <c r="EO247" s="125"/>
      <c r="EP247" s="125"/>
      <c r="EQ247" s="125"/>
      <c r="ER247" s="125"/>
      <c r="ES247" s="125"/>
      <c r="ET247" s="125"/>
      <c r="EU247" s="125"/>
      <c r="EV247" s="125"/>
      <c r="EW247" s="125"/>
      <c r="EX247" s="125"/>
      <c r="EY247" s="125"/>
      <c r="EZ247" s="125"/>
      <c r="FA247" s="125"/>
      <c r="FB247" s="125"/>
      <c r="FC247" s="125"/>
      <c r="FD247" s="125"/>
      <c r="FE247" s="125"/>
      <c r="FF247" s="125"/>
      <c r="FG247" s="125"/>
      <c r="FH247" s="125"/>
      <c r="FI247" s="125"/>
      <c r="FJ247" s="125"/>
      <c r="FK247" s="125"/>
      <c r="FL247" s="125"/>
      <c r="FM247" s="125"/>
      <c r="FN247" s="125"/>
      <c r="FO247" s="125"/>
      <c r="FP247" s="125"/>
      <c r="FQ247" s="125"/>
      <c r="FR247" s="125"/>
      <c r="FS247" s="125"/>
      <c r="FT247" s="125"/>
      <c r="FU247" s="125"/>
      <c r="FV247" s="125"/>
      <c r="FW247" s="125"/>
      <c r="FX247" s="125"/>
      <c r="FY247" s="125"/>
    </row>
    <row r="248" spans="4:181" ht="7.5" customHeight="1">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Y248" s="125"/>
      <c r="BZ248" s="125"/>
      <c r="CA248" s="125"/>
      <c r="CB248" s="125"/>
      <c r="CC248" s="125"/>
      <c r="CD248" s="125"/>
      <c r="CE248" s="125"/>
      <c r="CF248" s="125"/>
      <c r="CG248" s="125"/>
      <c r="CH248" s="125"/>
      <c r="CI248" s="125"/>
      <c r="CJ248" s="125"/>
      <c r="CK248" s="125"/>
      <c r="CL248" s="125"/>
      <c r="CM248" s="125"/>
      <c r="CN248" s="125"/>
      <c r="CO248" s="125"/>
      <c r="CP248" s="125"/>
      <c r="CQ248" s="125"/>
      <c r="CR248" s="125"/>
      <c r="CS248" s="125"/>
      <c r="CT248" s="125"/>
      <c r="CU248" s="125"/>
      <c r="CV248" s="125"/>
      <c r="CW248" s="125"/>
      <c r="CX248" s="125"/>
      <c r="CY248" s="125"/>
      <c r="CZ248" s="125"/>
      <c r="DA248" s="125"/>
      <c r="DB248" s="125"/>
      <c r="DC248" s="125"/>
      <c r="DD248" s="125"/>
      <c r="DE248" s="125"/>
      <c r="DF248" s="125"/>
      <c r="DG248" s="125"/>
      <c r="DH248" s="125"/>
      <c r="DI248" s="125"/>
      <c r="DJ248" s="125"/>
      <c r="DK248" s="125"/>
      <c r="DL248" s="125"/>
      <c r="DM248" s="125"/>
      <c r="DN248" s="125"/>
      <c r="DO248" s="125"/>
      <c r="DP248" s="125"/>
      <c r="DQ248" s="125"/>
      <c r="DR248" s="125"/>
      <c r="DS248" s="125"/>
      <c r="DT248" s="125"/>
      <c r="DU248" s="125"/>
      <c r="DV248" s="125"/>
      <c r="DW248" s="125"/>
      <c r="DX248" s="125"/>
      <c r="DY248" s="125"/>
      <c r="DZ248" s="125"/>
      <c r="EA248" s="125"/>
      <c r="EB248" s="125"/>
      <c r="EC248" s="125"/>
      <c r="ED248" s="125"/>
      <c r="EE248" s="125"/>
      <c r="EF248" s="125"/>
      <c r="EG248" s="125"/>
      <c r="EH248" s="125"/>
      <c r="EI248" s="125"/>
      <c r="EJ248" s="125"/>
      <c r="EK248" s="125"/>
      <c r="EL248" s="125"/>
      <c r="EM248" s="125"/>
      <c r="EN248" s="125"/>
      <c r="EO248" s="125"/>
      <c r="EP248" s="125"/>
      <c r="EQ248" s="125"/>
      <c r="ER248" s="125"/>
      <c r="ES248" s="125"/>
      <c r="ET248" s="125"/>
      <c r="EU248" s="125"/>
      <c r="EV248" s="125"/>
      <c r="EW248" s="125"/>
      <c r="EX248" s="125"/>
      <c r="EY248" s="125"/>
      <c r="EZ248" s="125"/>
      <c r="FA248" s="125"/>
      <c r="FB248" s="125"/>
      <c r="FC248" s="125"/>
      <c r="FD248" s="125"/>
      <c r="FE248" s="125"/>
      <c r="FF248" s="125"/>
      <c r="FG248" s="125"/>
      <c r="FH248" s="125"/>
      <c r="FI248" s="125"/>
      <c r="FJ248" s="125"/>
      <c r="FK248" s="125"/>
      <c r="FL248" s="125"/>
      <c r="FM248" s="125"/>
      <c r="FN248" s="125"/>
      <c r="FO248" s="125"/>
      <c r="FP248" s="125"/>
      <c r="FQ248" s="125"/>
      <c r="FR248" s="125"/>
      <c r="FS248" s="125"/>
      <c r="FT248" s="125"/>
      <c r="FU248" s="125"/>
      <c r="FV248" s="125"/>
      <c r="FW248" s="125"/>
      <c r="FX248" s="125"/>
      <c r="FY248" s="125"/>
    </row>
    <row r="249" spans="4:181" ht="7.5" customHeight="1">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Y249" s="125"/>
      <c r="BZ249" s="125"/>
      <c r="CA249" s="125"/>
      <c r="CB249" s="125"/>
      <c r="CC249" s="125"/>
      <c r="CD249" s="125"/>
      <c r="CE249" s="125"/>
      <c r="CF249" s="125"/>
      <c r="CG249" s="125"/>
      <c r="CH249" s="125"/>
      <c r="CI249" s="125"/>
      <c r="CJ249" s="125"/>
      <c r="CK249" s="125"/>
      <c r="CL249" s="125"/>
      <c r="CM249" s="125"/>
      <c r="CN249" s="125"/>
      <c r="CO249" s="125"/>
      <c r="CP249" s="125"/>
      <c r="CQ249" s="125"/>
      <c r="CR249" s="125"/>
      <c r="CS249" s="125"/>
      <c r="CT249" s="125"/>
      <c r="CU249" s="125"/>
      <c r="CV249" s="125"/>
      <c r="CW249" s="125"/>
      <c r="CX249" s="125"/>
      <c r="CY249" s="125"/>
      <c r="CZ249" s="125"/>
      <c r="DA249" s="125"/>
      <c r="DB249" s="125"/>
      <c r="DC249" s="125"/>
      <c r="DD249" s="125"/>
      <c r="DE249" s="125"/>
      <c r="DF249" s="125"/>
      <c r="DG249" s="125"/>
      <c r="DH249" s="125"/>
      <c r="DI249" s="125"/>
      <c r="DJ249" s="125"/>
      <c r="DK249" s="125"/>
      <c r="DL249" s="125"/>
      <c r="DM249" s="125"/>
      <c r="DN249" s="125"/>
      <c r="DO249" s="125"/>
      <c r="DP249" s="125"/>
      <c r="DQ249" s="125"/>
      <c r="DR249" s="125"/>
      <c r="DS249" s="125"/>
      <c r="DT249" s="125"/>
      <c r="DU249" s="125"/>
      <c r="DV249" s="125"/>
      <c r="DW249" s="125"/>
      <c r="DX249" s="125"/>
      <c r="DY249" s="125"/>
      <c r="DZ249" s="125"/>
      <c r="EA249" s="125"/>
      <c r="EB249" s="125"/>
      <c r="EC249" s="125"/>
      <c r="ED249" s="125"/>
      <c r="EE249" s="125"/>
      <c r="EF249" s="125"/>
      <c r="EG249" s="125"/>
      <c r="EH249" s="125"/>
      <c r="EI249" s="125"/>
      <c r="EJ249" s="125"/>
      <c r="EK249" s="125"/>
      <c r="EL249" s="125"/>
      <c r="EM249" s="125"/>
      <c r="EN249" s="125"/>
      <c r="EO249" s="125"/>
      <c r="EP249" s="125"/>
      <c r="EQ249" s="125"/>
      <c r="ER249" s="125"/>
      <c r="ES249" s="125"/>
      <c r="ET249" s="125"/>
      <c r="EU249" s="125"/>
      <c r="EV249" s="125"/>
      <c r="EW249" s="125"/>
      <c r="EX249" s="125"/>
      <c r="EY249" s="125"/>
      <c r="EZ249" s="125"/>
      <c r="FA249" s="125"/>
      <c r="FB249" s="125"/>
      <c r="FC249" s="125"/>
      <c r="FD249" s="125"/>
      <c r="FE249" s="125"/>
      <c r="FF249" s="125"/>
      <c r="FG249" s="125"/>
      <c r="FH249" s="125"/>
      <c r="FI249" s="125"/>
      <c r="FJ249" s="125"/>
      <c r="FK249" s="125"/>
      <c r="FL249" s="125"/>
      <c r="FM249" s="125"/>
      <c r="FN249" s="125"/>
      <c r="FO249" s="125"/>
      <c r="FP249" s="125"/>
      <c r="FQ249" s="125"/>
      <c r="FR249" s="125"/>
      <c r="FS249" s="125"/>
      <c r="FT249" s="125"/>
      <c r="FU249" s="125"/>
      <c r="FV249" s="125"/>
      <c r="FW249" s="125"/>
      <c r="FX249" s="125"/>
      <c r="FY249" s="125"/>
    </row>
    <row r="250" spans="4:181" ht="7.5" customHeight="1">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Y250" s="125"/>
      <c r="BZ250" s="125"/>
      <c r="CA250" s="125"/>
      <c r="CB250" s="125"/>
      <c r="CC250" s="125"/>
      <c r="CD250" s="125"/>
      <c r="CE250" s="125"/>
      <c r="CF250" s="125"/>
      <c r="CG250" s="125"/>
      <c r="CH250" s="125"/>
      <c r="CI250" s="125"/>
      <c r="CJ250" s="125"/>
      <c r="CK250" s="125"/>
      <c r="CL250" s="125"/>
      <c r="CM250" s="125"/>
      <c r="CN250" s="125"/>
      <c r="CO250" s="125"/>
      <c r="CP250" s="125"/>
      <c r="CQ250" s="125"/>
      <c r="CR250" s="125"/>
      <c r="CS250" s="125"/>
      <c r="CT250" s="125"/>
      <c r="CU250" s="125"/>
      <c r="CV250" s="125"/>
      <c r="CW250" s="125"/>
      <c r="CX250" s="125"/>
      <c r="CY250" s="125"/>
      <c r="CZ250" s="125"/>
      <c r="DA250" s="125"/>
      <c r="DB250" s="125"/>
      <c r="DC250" s="125"/>
      <c r="DD250" s="125"/>
      <c r="DE250" s="125"/>
      <c r="DF250" s="125"/>
      <c r="DG250" s="125"/>
      <c r="DH250" s="125"/>
      <c r="DI250" s="125"/>
      <c r="DJ250" s="125"/>
      <c r="DK250" s="125"/>
      <c r="DL250" s="125"/>
      <c r="DM250" s="125"/>
      <c r="DN250" s="125"/>
      <c r="DO250" s="125"/>
      <c r="DP250" s="125"/>
      <c r="DQ250" s="125"/>
      <c r="DR250" s="125"/>
      <c r="DS250" s="125"/>
      <c r="DT250" s="125"/>
      <c r="DU250" s="125"/>
      <c r="DV250" s="125"/>
      <c r="DW250" s="125"/>
      <c r="DX250" s="125"/>
      <c r="DY250" s="125"/>
      <c r="DZ250" s="125"/>
      <c r="EA250" s="125"/>
      <c r="EB250" s="125"/>
      <c r="EC250" s="125"/>
      <c r="ED250" s="125"/>
      <c r="EE250" s="125"/>
      <c r="EF250" s="125"/>
      <c r="EG250" s="125"/>
      <c r="EH250" s="125"/>
      <c r="EI250" s="125"/>
      <c r="EJ250" s="125"/>
      <c r="EK250" s="125"/>
      <c r="EL250" s="125"/>
      <c r="EM250" s="125"/>
      <c r="EN250" s="125"/>
      <c r="EO250" s="125"/>
      <c r="EP250" s="125"/>
      <c r="EQ250" s="125"/>
      <c r="ER250" s="125"/>
      <c r="ES250" s="125"/>
      <c r="ET250" s="125"/>
      <c r="EU250" s="125"/>
      <c r="EV250" s="125"/>
      <c r="EW250" s="125"/>
      <c r="EX250" s="125"/>
      <c r="EY250" s="125"/>
      <c r="EZ250" s="125"/>
      <c r="FA250" s="125"/>
      <c r="FB250" s="125"/>
      <c r="FC250" s="125"/>
      <c r="FD250" s="125"/>
      <c r="FE250" s="125"/>
      <c r="FF250" s="125"/>
      <c r="FG250" s="125"/>
      <c r="FH250" s="125"/>
      <c r="FI250" s="125"/>
      <c r="FJ250" s="125"/>
      <c r="FK250" s="125"/>
      <c r="FL250" s="125"/>
      <c r="FM250" s="125"/>
      <c r="FN250" s="125"/>
      <c r="FO250" s="125"/>
      <c r="FP250" s="125"/>
      <c r="FQ250" s="125"/>
      <c r="FR250" s="125"/>
      <c r="FS250" s="125"/>
      <c r="FT250" s="125"/>
      <c r="FU250" s="125"/>
      <c r="FV250" s="125"/>
      <c r="FW250" s="125"/>
      <c r="FX250" s="125"/>
      <c r="FY250" s="125"/>
    </row>
    <row r="251" spans="4:181" ht="7.5" customHeight="1">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c r="DF251" s="125"/>
      <c r="DG251" s="125"/>
      <c r="DH251" s="125"/>
      <c r="DI251" s="125"/>
      <c r="DJ251" s="125"/>
      <c r="DK251" s="125"/>
      <c r="DL251" s="125"/>
      <c r="DM251" s="125"/>
      <c r="DN251" s="125"/>
      <c r="DO251" s="125"/>
      <c r="DP251" s="125"/>
      <c r="DQ251" s="125"/>
      <c r="DR251" s="125"/>
      <c r="DS251" s="125"/>
      <c r="DT251" s="125"/>
      <c r="DU251" s="125"/>
      <c r="DV251" s="125"/>
      <c r="DW251" s="125"/>
      <c r="DX251" s="125"/>
      <c r="DY251" s="125"/>
      <c r="DZ251" s="125"/>
      <c r="EA251" s="125"/>
      <c r="EB251" s="125"/>
      <c r="EC251" s="125"/>
      <c r="ED251" s="125"/>
      <c r="EE251" s="125"/>
      <c r="EF251" s="125"/>
      <c r="EG251" s="125"/>
      <c r="EH251" s="125"/>
      <c r="EI251" s="125"/>
      <c r="EJ251" s="125"/>
      <c r="EK251" s="125"/>
      <c r="EL251" s="125"/>
      <c r="EM251" s="125"/>
      <c r="EN251" s="125"/>
      <c r="EO251" s="125"/>
      <c r="EP251" s="125"/>
      <c r="EQ251" s="125"/>
      <c r="ER251" s="125"/>
      <c r="ES251" s="125"/>
      <c r="ET251" s="125"/>
      <c r="EU251" s="125"/>
      <c r="EV251" s="125"/>
      <c r="EW251" s="125"/>
      <c r="EX251" s="125"/>
      <c r="EY251" s="125"/>
      <c r="EZ251" s="125"/>
      <c r="FA251" s="125"/>
      <c r="FB251" s="125"/>
      <c r="FC251" s="125"/>
      <c r="FD251" s="125"/>
      <c r="FE251" s="125"/>
      <c r="FF251" s="125"/>
      <c r="FG251" s="125"/>
      <c r="FH251" s="125"/>
      <c r="FI251" s="125"/>
      <c r="FJ251" s="125"/>
      <c r="FK251" s="125"/>
      <c r="FL251" s="125"/>
      <c r="FM251" s="125"/>
      <c r="FN251" s="125"/>
      <c r="FO251" s="125"/>
      <c r="FP251" s="125"/>
      <c r="FQ251" s="125"/>
      <c r="FR251" s="125"/>
      <c r="FS251" s="125"/>
      <c r="FT251" s="125"/>
      <c r="FU251" s="125"/>
      <c r="FV251" s="125"/>
      <c r="FW251" s="125"/>
      <c r="FX251" s="125"/>
      <c r="FY251" s="125"/>
    </row>
    <row r="252" spans="4:181" ht="7.5" customHeight="1">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Y252" s="125"/>
      <c r="BZ252" s="125"/>
      <c r="CA252" s="125"/>
      <c r="CB252" s="125"/>
      <c r="CC252" s="125"/>
      <c r="CD252" s="125"/>
      <c r="CE252" s="125"/>
      <c r="CF252" s="125"/>
      <c r="CG252" s="125"/>
      <c r="CH252" s="125"/>
      <c r="CI252" s="125"/>
      <c r="CJ252" s="125"/>
      <c r="CK252" s="125"/>
      <c r="CL252" s="125"/>
      <c r="CM252" s="125"/>
      <c r="CN252" s="125"/>
      <c r="CO252" s="125"/>
      <c r="CP252" s="125"/>
      <c r="CQ252" s="125"/>
      <c r="CR252" s="125"/>
      <c r="CS252" s="125"/>
      <c r="CT252" s="125"/>
      <c r="CU252" s="125"/>
      <c r="CV252" s="125"/>
      <c r="CW252" s="125"/>
      <c r="CX252" s="125"/>
      <c r="CY252" s="125"/>
      <c r="CZ252" s="125"/>
      <c r="DA252" s="125"/>
      <c r="DB252" s="125"/>
      <c r="DC252" s="125"/>
      <c r="DD252" s="125"/>
      <c r="DE252" s="125"/>
      <c r="DF252" s="125"/>
      <c r="DG252" s="125"/>
      <c r="DH252" s="125"/>
      <c r="DI252" s="125"/>
      <c r="DJ252" s="125"/>
      <c r="DK252" s="125"/>
      <c r="DL252" s="125"/>
      <c r="DM252" s="125"/>
      <c r="DN252" s="125"/>
      <c r="DO252" s="125"/>
      <c r="DP252" s="125"/>
      <c r="DQ252" s="125"/>
      <c r="DR252" s="125"/>
      <c r="DS252" s="125"/>
      <c r="DT252" s="125"/>
      <c r="DU252" s="125"/>
      <c r="DV252" s="125"/>
      <c r="DW252" s="125"/>
      <c r="DX252" s="125"/>
      <c r="DY252" s="125"/>
      <c r="DZ252" s="125"/>
      <c r="EA252" s="125"/>
      <c r="EB252" s="125"/>
      <c r="EC252" s="125"/>
      <c r="ED252" s="125"/>
      <c r="EE252" s="125"/>
      <c r="EF252" s="125"/>
      <c r="EG252" s="125"/>
      <c r="EH252" s="125"/>
      <c r="EI252" s="125"/>
      <c r="EJ252" s="125"/>
      <c r="EK252" s="125"/>
      <c r="EL252" s="125"/>
      <c r="EM252" s="125"/>
      <c r="EN252" s="125"/>
      <c r="EO252" s="125"/>
      <c r="EP252" s="125"/>
      <c r="EQ252" s="125"/>
      <c r="ER252" s="125"/>
      <c r="ES252" s="125"/>
      <c r="ET252" s="125"/>
      <c r="EU252" s="125"/>
      <c r="EV252" s="125"/>
      <c r="EW252" s="125"/>
      <c r="EX252" s="125"/>
      <c r="EY252" s="125"/>
      <c r="EZ252" s="125"/>
      <c r="FA252" s="125"/>
      <c r="FB252" s="125"/>
      <c r="FC252" s="125"/>
      <c r="FD252" s="125"/>
      <c r="FE252" s="125"/>
      <c r="FF252" s="125"/>
      <c r="FG252" s="125"/>
      <c r="FH252" s="125"/>
      <c r="FI252" s="125"/>
      <c r="FJ252" s="125"/>
      <c r="FK252" s="125"/>
      <c r="FL252" s="125"/>
      <c r="FM252" s="125"/>
      <c r="FN252" s="125"/>
      <c r="FO252" s="125"/>
      <c r="FP252" s="125"/>
      <c r="FQ252" s="125"/>
      <c r="FR252" s="125"/>
      <c r="FS252" s="125"/>
      <c r="FT252" s="125"/>
      <c r="FU252" s="125"/>
      <c r="FV252" s="125"/>
      <c r="FW252" s="125"/>
      <c r="FX252" s="125"/>
      <c r="FY252" s="125"/>
    </row>
    <row r="253" spans="4:181" ht="7.5" customHeight="1">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c r="DF253" s="125"/>
      <c r="DG253" s="125"/>
      <c r="DH253" s="125"/>
      <c r="DI253" s="125"/>
      <c r="DJ253" s="125"/>
      <c r="DK253" s="125"/>
      <c r="DL253" s="125"/>
      <c r="DM253" s="125"/>
      <c r="DN253" s="125"/>
      <c r="DO253" s="125"/>
      <c r="DP253" s="125"/>
      <c r="DQ253" s="125"/>
      <c r="DR253" s="125"/>
      <c r="DS253" s="125"/>
      <c r="DT253" s="125"/>
      <c r="DU253" s="125"/>
      <c r="DV253" s="125"/>
      <c r="DW253" s="125"/>
      <c r="DX253" s="125"/>
      <c r="DY253" s="125"/>
      <c r="DZ253" s="125"/>
      <c r="EA253" s="125"/>
      <c r="EB253" s="125"/>
      <c r="EC253" s="125"/>
      <c r="ED253" s="125"/>
      <c r="EE253" s="125"/>
      <c r="EF253" s="125"/>
      <c r="EG253" s="125"/>
      <c r="EH253" s="125"/>
      <c r="EI253" s="125"/>
      <c r="EJ253" s="125"/>
      <c r="EK253" s="125"/>
      <c r="EL253" s="125"/>
      <c r="EM253" s="125"/>
      <c r="EN253" s="125"/>
      <c r="EO253" s="125"/>
      <c r="EP253" s="125"/>
      <c r="EQ253" s="125"/>
      <c r="ER253" s="125"/>
      <c r="ES253" s="125"/>
      <c r="ET253" s="125"/>
      <c r="EU253" s="125"/>
      <c r="EV253" s="125"/>
      <c r="EW253" s="125"/>
      <c r="EX253" s="125"/>
      <c r="EY253" s="125"/>
      <c r="EZ253" s="125"/>
      <c r="FA253" s="125"/>
      <c r="FB253" s="125"/>
      <c r="FC253" s="125"/>
      <c r="FD253" s="125"/>
      <c r="FE253" s="125"/>
      <c r="FF253" s="125"/>
      <c r="FG253" s="125"/>
      <c r="FH253" s="125"/>
      <c r="FI253" s="125"/>
      <c r="FJ253" s="125"/>
      <c r="FK253" s="125"/>
      <c r="FL253" s="125"/>
      <c r="FM253" s="125"/>
      <c r="FN253" s="125"/>
      <c r="FO253" s="125"/>
      <c r="FP253" s="125"/>
      <c r="FQ253" s="125"/>
      <c r="FR253" s="125"/>
      <c r="FS253" s="125"/>
      <c r="FT253" s="125"/>
      <c r="FU253" s="125"/>
      <c r="FV253" s="125"/>
      <c r="FW253" s="125"/>
      <c r="FX253" s="125"/>
      <c r="FY253" s="125"/>
    </row>
    <row r="254" spans="4:181" ht="7.5" customHeight="1">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c r="DF254" s="125"/>
      <c r="DG254" s="125"/>
      <c r="DH254" s="125"/>
      <c r="DI254" s="125"/>
      <c r="DJ254" s="125"/>
      <c r="DK254" s="125"/>
      <c r="DL254" s="125"/>
      <c r="DM254" s="125"/>
      <c r="DN254" s="125"/>
      <c r="DO254" s="125"/>
      <c r="DP254" s="125"/>
      <c r="DQ254" s="125"/>
      <c r="DR254" s="125"/>
      <c r="DS254" s="125"/>
      <c r="DT254" s="125"/>
      <c r="DU254" s="125"/>
      <c r="DV254" s="125"/>
      <c r="DW254" s="125"/>
      <c r="DX254" s="125"/>
      <c r="DY254" s="125"/>
      <c r="DZ254" s="125"/>
      <c r="EA254" s="125"/>
      <c r="EB254" s="125"/>
      <c r="EC254" s="125"/>
      <c r="ED254" s="125"/>
      <c r="EE254" s="125"/>
      <c r="EF254" s="125"/>
      <c r="EG254" s="125"/>
      <c r="EH254" s="125"/>
      <c r="EI254" s="125"/>
      <c r="EJ254" s="125"/>
      <c r="EK254" s="125"/>
      <c r="EL254" s="125"/>
      <c r="EM254" s="125"/>
      <c r="EN254" s="125"/>
      <c r="EO254" s="125"/>
      <c r="EP254" s="125"/>
      <c r="EQ254" s="125"/>
      <c r="ER254" s="125"/>
      <c r="ES254" s="125"/>
      <c r="ET254" s="125"/>
      <c r="EU254" s="125"/>
      <c r="EV254" s="125"/>
      <c r="EW254" s="125"/>
      <c r="EX254" s="125"/>
      <c r="EY254" s="125"/>
      <c r="EZ254" s="125"/>
      <c r="FA254" s="125"/>
      <c r="FB254" s="125"/>
      <c r="FC254" s="125"/>
      <c r="FD254" s="125"/>
      <c r="FE254" s="125"/>
      <c r="FF254" s="125"/>
      <c r="FG254" s="125"/>
      <c r="FH254" s="125"/>
      <c r="FI254" s="125"/>
      <c r="FJ254" s="125"/>
      <c r="FK254" s="125"/>
      <c r="FL254" s="125"/>
      <c r="FM254" s="125"/>
      <c r="FN254" s="125"/>
      <c r="FO254" s="125"/>
      <c r="FP254" s="125"/>
      <c r="FQ254" s="125"/>
      <c r="FR254" s="125"/>
      <c r="FS254" s="125"/>
      <c r="FT254" s="125"/>
      <c r="FU254" s="125"/>
      <c r="FV254" s="125"/>
      <c r="FW254" s="125"/>
      <c r="FX254" s="125"/>
      <c r="FY254" s="125"/>
    </row>
    <row r="255" spans="4:181" ht="7.5" customHeight="1">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c r="DF255" s="125"/>
      <c r="DG255" s="125"/>
      <c r="DH255" s="125"/>
      <c r="DI255" s="125"/>
      <c r="DJ255" s="125"/>
      <c r="DK255" s="125"/>
      <c r="DL255" s="125"/>
      <c r="DM255" s="125"/>
      <c r="DN255" s="125"/>
      <c r="DO255" s="125"/>
      <c r="DP255" s="125"/>
      <c r="DQ255" s="125"/>
      <c r="DR255" s="125"/>
      <c r="DS255" s="125"/>
      <c r="DT255" s="125"/>
      <c r="DU255" s="125"/>
      <c r="DV255" s="125"/>
      <c r="DW255" s="125"/>
      <c r="DX255" s="125"/>
      <c r="DY255" s="125"/>
      <c r="DZ255" s="125"/>
      <c r="EA255" s="125"/>
      <c r="EB255" s="125"/>
      <c r="EC255" s="125"/>
      <c r="ED255" s="125"/>
      <c r="EE255" s="125"/>
      <c r="EF255" s="125"/>
      <c r="EG255" s="125"/>
      <c r="EH255" s="125"/>
      <c r="EI255" s="125"/>
      <c r="EJ255" s="125"/>
      <c r="EK255" s="125"/>
      <c r="EL255" s="125"/>
      <c r="EM255" s="125"/>
      <c r="EN255" s="125"/>
      <c r="EO255" s="125"/>
      <c r="EP255" s="125"/>
      <c r="EQ255" s="125"/>
      <c r="ER255" s="125"/>
      <c r="ES255" s="125"/>
      <c r="ET255" s="125"/>
      <c r="EU255" s="125"/>
      <c r="EV255" s="125"/>
      <c r="EW255" s="125"/>
      <c r="EX255" s="125"/>
      <c r="EY255" s="125"/>
      <c r="EZ255" s="125"/>
      <c r="FA255" s="125"/>
      <c r="FB255" s="125"/>
      <c r="FC255" s="125"/>
      <c r="FD255" s="125"/>
      <c r="FE255" s="125"/>
      <c r="FF255" s="125"/>
      <c r="FG255" s="125"/>
      <c r="FH255" s="125"/>
      <c r="FI255" s="125"/>
      <c r="FJ255" s="125"/>
      <c r="FK255" s="125"/>
      <c r="FL255" s="125"/>
      <c r="FM255" s="125"/>
      <c r="FN255" s="125"/>
      <c r="FO255" s="125"/>
      <c r="FP255" s="125"/>
      <c r="FQ255" s="125"/>
      <c r="FR255" s="125"/>
      <c r="FS255" s="125"/>
      <c r="FT255" s="125"/>
      <c r="FU255" s="125"/>
      <c r="FV255" s="125"/>
      <c r="FW255" s="125"/>
      <c r="FX255" s="125"/>
      <c r="FY255" s="125"/>
    </row>
    <row r="256" spans="4:181" ht="7.5" customHeight="1">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c r="DF256" s="125"/>
      <c r="DG256" s="125"/>
      <c r="DH256" s="125"/>
      <c r="DI256" s="125"/>
      <c r="DJ256" s="125"/>
      <c r="DK256" s="125"/>
      <c r="DL256" s="125"/>
      <c r="DM256" s="125"/>
      <c r="DN256" s="125"/>
      <c r="DO256" s="125"/>
      <c r="DP256" s="125"/>
      <c r="DQ256" s="125"/>
      <c r="DR256" s="125"/>
      <c r="DS256" s="125"/>
      <c r="DT256" s="125"/>
      <c r="DU256" s="125"/>
      <c r="DV256" s="125"/>
      <c r="DW256" s="125"/>
      <c r="DX256" s="125"/>
      <c r="DY256" s="125"/>
      <c r="DZ256" s="125"/>
      <c r="EA256" s="125"/>
      <c r="EB256" s="125"/>
      <c r="EC256" s="125"/>
      <c r="ED256" s="125"/>
      <c r="EE256" s="125"/>
      <c r="EF256" s="125"/>
      <c r="EG256" s="125"/>
      <c r="EH256" s="125"/>
      <c r="EI256" s="125"/>
      <c r="EJ256" s="125"/>
      <c r="EK256" s="125"/>
      <c r="EL256" s="125"/>
      <c r="EM256" s="125"/>
      <c r="EN256" s="125"/>
      <c r="EO256" s="125"/>
      <c r="EP256" s="125"/>
      <c r="EQ256" s="125"/>
      <c r="ER256" s="125"/>
      <c r="ES256" s="125"/>
      <c r="ET256" s="125"/>
      <c r="EU256" s="125"/>
      <c r="EV256" s="125"/>
      <c r="EW256" s="125"/>
      <c r="EX256" s="125"/>
      <c r="EY256" s="125"/>
      <c r="EZ256" s="125"/>
      <c r="FA256" s="125"/>
      <c r="FB256" s="125"/>
      <c r="FC256" s="125"/>
      <c r="FD256" s="125"/>
      <c r="FE256" s="125"/>
      <c r="FF256" s="125"/>
      <c r="FG256" s="125"/>
      <c r="FH256" s="125"/>
      <c r="FI256" s="125"/>
      <c r="FJ256" s="125"/>
      <c r="FK256" s="125"/>
      <c r="FL256" s="125"/>
      <c r="FM256" s="125"/>
      <c r="FN256" s="125"/>
      <c r="FO256" s="125"/>
      <c r="FP256" s="125"/>
      <c r="FQ256" s="125"/>
      <c r="FR256" s="125"/>
      <c r="FS256" s="125"/>
      <c r="FT256" s="125"/>
      <c r="FU256" s="125"/>
      <c r="FV256" s="125"/>
      <c r="FW256" s="125"/>
      <c r="FX256" s="125"/>
      <c r="FY256" s="125"/>
    </row>
    <row r="257" spans="4:181" ht="7.5" customHeight="1">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Y257" s="125"/>
      <c r="BZ257" s="125"/>
      <c r="CA257" s="125"/>
      <c r="CB257" s="125"/>
      <c r="CC257" s="125"/>
      <c r="CD257" s="125"/>
      <c r="CE257" s="125"/>
      <c r="CF257" s="125"/>
      <c r="CG257" s="125"/>
      <c r="CH257" s="125"/>
      <c r="CI257" s="125"/>
      <c r="CJ257" s="125"/>
      <c r="CK257" s="125"/>
      <c r="CL257" s="125"/>
      <c r="CM257" s="125"/>
      <c r="CN257" s="125"/>
      <c r="CO257" s="125"/>
      <c r="CP257" s="125"/>
      <c r="CQ257" s="125"/>
      <c r="CR257" s="125"/>
      <c r="CS257" s="125"/>
      <c r="CT257" s="125"/>
      <c r="CU257" s="125"/>
      <c r="CV257" s="125"/>
      <c r="CW257" s="125"/>
      <c r="CX257" s="125"/>
      <c r="CY257" s="125"/>
      <c r="CZ257" s="125"/>
      <c r="DA257" s="125"/>
      <c r="DB257" s="125"/>
      <c r="DC257" s="125"/>
      <c r="DD257" s="125"/>
      <c r="DE257" s="125"/>
      <c r="DF257" s="125"/>
      <c r="DG257" s="125"/>
      <c r="DH257" s="125"/>
      <c r="DI257" s="125"/>
      <c r="DJ257" s="125"/>
      <c r="DK257" s="125"/>
      <c r="DL257" s="125"/>
      <c r="DM257" s="125"/>
      <c r="DN257" s="125"/>
      <c r="DO257" s="125"/>
      <c r="DP257" s="125"/>
      <c r="DQ257" s="125"/>
      <c r="DR257" s="125"/>
      <c r="DS257" s="125"/>
      <c r="DT257" s="125"/>
      <c r="DU257" s="125"/>
      <c r="DV257" s="125"/>
      <c r="DW257" s="125"/>
      <c r="DX257" s="125"/>
      <c r="DY257" s="125"/>
      <c r="DZ257" s="125"/>
      <c r="EA257" s="125"/>
      <c r="EB257" s="125"/>
      <c r="EC257" s="125"/>
      <c r="ED257" s="125"/>
      <c r="EE257" s="125"/>
      <c r="EF257" s="125"/>
      <c r="EG257" s="125"/>
      <c r="EH257" s="125"/>
      <c r="EI257" s="125"/>
      <c r="EJ257" s="125"/>
      <c r="EK257" s="125"/>
      <c r="EL257" s="125"/>
      <c r="EM257" s="125"/>
      <c r="EN257" s="125"/>
      <c r="EO257" s="125"/>
      <c r="EP257" s="125"/>
      <c r="EQ257" s="125"/>
      <c r="ER257" s="125"/>
      <c r="ES257" s="125"/>
      <c r="ET257" s="125"/>
      <c r="EU257" s="125"/>
      <c r="EV257" s="125"/>
      <c r="EW257" s="125"/>
      <c r="EX257" s="125"/>
      <c r="EY257" s="125"/>
      <c r="EZ257" s="125"/>
      <c r="FA257" s="125"/>
      <c r="FB257" s="125"/>
      <c r="FC257" s="125"/>
      <c r="FD257" s="125"/>
      <c r="FE257" s="125"/>
      <c r="FF257" s="125"/>
      <c r="FG257" s="125"/>
      <c r="FH257" s="125"/>
      <c r="FI257" s="125"/>
      <c r="FJ257" s="125"/>
      <c r="FK257" s="125"/>
      <c r="FL257" s="125"/>
      <c r="FM257" s="125"/>
      <c r="FN257" s="125"/>
      <c r="FO257" s="125"/>
      <c r="FP257" s="125"/>
      <c r="FQ257" s="125"/>
      <c r="FR257" s="125"/>
      <c r="FS257" s="125"/>
      <c r="FT257" s="125"/>
      <c r="FU257" s="125"/>
      <c r="FV257" s="125"/>
      <c r="FW257" s="125"/>
      <c r="FX257" s="125"/>
      <c r="FY257" s="125"/>
    </row>
    <row r="258" spans="4:181" ht="7.5" customHeight="1">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Y258" s="125"/>
      <c r="BZ258" s="125"/>
      <c r="CA258" s="125"/>
      <c r="CB258" s="125"/>
      <c r="CC258" s="125"/>
      <c r="CD258" s="125"/>
      <c r="CE258" s="125"/>
      <c r="CF258" s="125"/>
      <c r="CG258" s="125"/>
      <c r="CH258" s="125"/>
      <c r="CI258" s="125"/>
      <c r="CJ258" s="125"/>
      <c r="CK258" s="125"/>
      <c r="CL258" s="125"/>
      <c r="CM258" s="125"/>
      <c r="CN258" s="125"/>
      <c r="CO258" s="125"/>
      <c r="CP258" s="125"/>
      <c r="CQ258" s="125"/>
      <c r="CR258" s="125"/>
      <c r="CS258" s="125"/>
      <c r="CT258" s="125"/>
      <c r="CU258" s="125"/>
      <c r="CV258" s="125"/>
      <c r="CW258" s="125"/>
      <c r="CX258" s="125"/>
      <c r="CY258" s="125"/>
      <c r="CZ258" s="125"/>
      <c r="DA258" s="125"/>
      <c r="DB258" s="125"/>
      <c r="DC258" s="125"/>
      <c r="DD258" s="125"/>
      <c r="DE258" s="125"/>
      <c r="DF258" s="125"/>
      <c r="DG258" s="125"/>
      <c r="DH258" s="125"/>
      <c r="DI258" s="125"/>
      <c r="DJ258" s="125"/>
      <c r="DK258" s="125"/>
      <c r="DL258" s="125"/>
      <c r="DM258" s="125"/>
      <c r="DN258" s="125"/>
      <c r="DO258" s="125"/>
      <c r="DP258" s="125"/>
      <c r="DQ258" s="125"/>
      <c r="DR258" s="125"/>
      <c r="DS258" s="125"/>
      <c r="DT258" s="125"/>
      <c r="DU258" s="125"/>
      <c r="DV258" s="125"/>
      <c r="DW258" s="125"/>
      <c r="DX258" s="125"/>
      <c r="DY258" s="125"/>
      <c r="DZ258" s="125"/>
      <c r="EA258" s="125"/>
      <c r="EB258" s="125"/>
      <c r="EC258" s="125"/>
      <c r="ED258" s="125"/>
      <c r="EE258" s="125"/>
      <c r="EF258" s="125"/>
      <c r="EG258" s="125"/>
      <c r="EH258" s="125"/>
      <c r="EI258" s="125"/>
      <c r="EJ258" s="125"/>
      <c r="EK258" s="125"/>
      <c r="EL258" s="125"/>
      <c r="EM258" s="125"/>
      <c r="EN258" s="125"/>
      <c r="EO258" s="125"/>
      <c r="EP258" s="125"/>
      <c r="EQ258" s="125"/>
      <c r="ER258" s="125"/>
      <c r="ES258" s="125"/>
      <c r="ET258" s="125"/>
      <c r="EU258" s="125"/>
      <c r="EV258" s="125"/>
      <c r="EW258" s="125"/>
      <c r="EX258" s="125"/>
      <c r="EY258" s="125"/>
      <c r="EZ258" s="125"/>
      <c r="FA258" s="125"/>
      <c r="FB258" s="125"/>
      <c r="FC258" s="125"/>
      <c r="FD258" s="125"/>
      <c r="FE258" s="125"/>
      <c r="FF258" s="125"/>
      <c r="FG258" s="125"/>
      <c r="FH258" s="125"/>
      <c r="FI258" s="125"/>
      <c r="FJ258" s="125"/>
      <c r="FK258" s="125"/>
      <c r="FL258" s="125"/>
      <c r="FM258" s="125"/>
      <c r="FN258" s="125"/>
      <c r="FO258" s="125"/>
      <c r="FP258" s="125"/>
      <c r="FQ258" s="125"/>
      <c r="FR258" s="125"/>
      <c r="FS258" s="125"/>
      <c r="FT258" s="125"/>
      <c r="FU258" s="125"/>
      <c r="FV258" s="125"/>
      <c r="FW258" s="125"/>
      <c r="FX258" s="125"/>
      <c r="FY258" s="125"/>
    </row>
    <row r="259" spans="4:181" ht="7.5" customHeight="1">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c r="DF259" s="125"/>
      <c r="DG259" s="125"/>
      <c r="DH259" s="125"/>
      <c r="DI259" s="125"/>
      <c r="DJ259" s="125"/>
      <c r="DK259" s="125"/>
      <c r="DL259" s="125"/>
      <c r="DM259" s="125"/>
      <c r="DN259" s="125"/>
      <c r="DO259" s="125"/>
      <c r="DP259" s="125"/>
      <c r="DQ259" s="125"/>
      <c r="DR259" s="125"/>
      <c r="DS259" s="125"/>
      <c r="DT259" s="125"/>
      <c r="DU259" s="125"/>
      <c r="DV259" s="125"/>
      <c r="DW259" s="125"/>
      <c r="DX259" s="125"/>
      <c r="DY259" s="125"/>
      <c r="DZ259" s="125"/>
      <c r="EA259" s="125"/>
      <c r="EB259" s="125"/>
      <c r="EC259" s="125"/>
      <c r="ED259" s="125"/>
      <c r="EE259" s="125"/>
      <c r="EF259" s="125"/>
      <c r="EG259" s="125"/>
      <c r="EH259" s="125"/>
      <c r="EI259" s="125"/>
      <c r="EJ259" s="125"/>
      <c r="EK259" s="125"/>
      <c r="EL259" s="125"/>
      <c r="EM259" s="125"/>
      <c r="EN259" s="125"/>
      <c r="EO259" s="125"/>
      <c r="EP259" s="125"/>
      <c r="EQ259" s="125"/>
      <c r="ER259" s="125"/>
      <c r="ES259" s="125"/>
      <c r="ET259" s="125"/>
      <c r="EU259" s="125"/>
      <c r="EV259" s="125"/>
      <c r="EW259" s="125"/>
      <c r="EX259" s="125"/>
      <c r="EY259" s="125"/>
      <c r="EZ259" s="125"/>
      <c r="FA259" s="125"/>
      <c r="FB259" s="125"/>
      <c r="FC259" s="125"/>
      <c r="FD259" s="125"/>
      <c r="FE259" s="125"/>
      <c r="FF259" s="125"/>
      <c r="FG259" s="125"/>
      <c r="FH259" s="125"/>
      <c r="FI259" s="125"/>
      <c r="FJ259" s="125"/>
      <c r="FK259" s="125"/>
      <c r="FL259" s="125"/>
      <c r="FM259" s="125"/>
      <c r="FN259" s="125"/>
      <c r="FO259" s="125"/>
      <c r="FP259" s="125"/>
      <c r="FQ259" s="125"/>
      <c r="FR259" s="125"/>
      <c r="FS259" s="125"/>
      <c r="FT259" s="125"/>
      <c r="FU259" s="125"/>
      <c r="FV259" s="125"/>
      <c r="FW259" s="125"/>
      <c r="FX259" s="125"/>
      <c r="FY259" s="125"/>
    </row>
    <row r="260" spans="4:181" ht="7.5" customHeight="1">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c r="DF260" s="125"/>
      <c r="DG260" s="125"/>
      <c r="DH260" s="125"/>
      <c r="DI260" s="125"/>
      <c r="DJ260" s="125"/>
      <c r="DK260" s="125"/>
      <c r="DL260" s="125"/>
      <c r="DM260" s="125"/>
      <c r="DN260" s="125"/>
      <c r="DO260" s="125"/>
      <c r="DP260" s="125"/>
      <c r="DQ260" s="125"/>
      <c r="DR260" s="125"/>
      <c r="DS260" s="125"/>
      <c r="DT260" s="125"/>
      <c r="DU260" s="125"/>
      <c r="DV260" s="125"/>
      <c r="DW260" s="125"/>
      <c r="DX260" s="125"/>
      <c r="DY260" s="125"/>
      <c r="DZ260" s="125"/>
      <c r="EA260" s="125"/>
      <c r="EB260" s="125"/>
      <c r="EC260" s="125"/>
      <c r="ED260" s="125"/>
      <c r="EE260" s="125"/>
      <c r="EF260" s="125"/>
      <c r="EG260" s="125"/>
      <c r="EH260" s="125"/>
      <c r="EI260" s="125"/>
      <c r="EJ260" s="125"/>
      <c r="EK260" s="125"/>
      <c r="EL260" s="125"/>
      <c r="EM260" s="125"/>
      <c r="EN260" s="125"/>
      <c r="EO260" s="125"/>
      <c r="EP260" s="125"/>
      <c r="EQ260" s="125"/>
      <c r="ER260" s="125"/>
      <c r="ES260" s="125"/>
      <c r="ET260" s="125"/>
      <c r="EU260" s="125"/>
      <c r="EV260" s="125"/>
      <c r="EW260" s="125"/>
      <c r="EX260" s="125"/>
      <c r="EY260" s="125"/>
      <c r="EZ260" s="125"/>
      <c r="FA260" s="125"/>
      <c r="FB260" s="125"/>
      <c r="FC260" s="125"/>
      <c r="FD260" s="125"/>
      <c r="FE260" s="125"/>
      <c r="FF260" s="125"/>
      <c r="FG260" s="125"/>
      <c r="FH260" s="125"/>
      <c r="FI260" s="125"/>
      <c r="FJ260" s="125"/>
      <c r="FK260" s="125"/>
      <c r="FL260" s="125"/>
      <c r="FM260" s="125"/>
      <c r="FN260" s="125"/>
      <c r="FO260" s="125"/>
      <c r="FP260" s="125"/>
      <c r="FQ260" s="125"/>
      <c r="FR260" s="125"/>
      <c r="FS260" s="125"/>
      <c r="FT260" s="125"/>
      <c r="FU260" s="125"/>
      <c r="FV260" s="125"/>
      <c r="FW260" s="125"/>
      <c r="FX260" s="125"/>
      <c r="FY260" s="125"/>
    </row>
    <row r="261" spans="4:181" ht="7.5" customHeight="1">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c r="DF261" s="125"/>
      <c r="DG261" s="125"/>
      <c r="DH261" s="125"/>
      <c r="DI261" s="125"/>
      <c r="DJ261" s="125"/>
      <c r="DK261" s="125"/>
      <c r="DL261" s="125"/>
      <c r="DM261" s="125"/>
      <c r="DN261" s="125"/>
      <c r="DO261" s="125"/>
      <c r="DP261" s="125"/>
      <c r="DQ261" s="125"/>
      <c r="DR261" s="125"/>
      <c r="DS261" s="125"/>
      <c r="DT261" s="125"/>
      <c r="DU261" s="125"/>
      <c r="DV261" s="125"/>
      <c r="DW261" s="125"/>
      <c r="DX261" s="125"/>
      <c r="DY261" s="125"/>
      <c r="DZ261" s="125"/>
      <c r="EA261" s="125"/>
      <c r="EB261" s="125"/>
      <c r="EC261" s="125"/>
      <c r="ED261" s="125"/>
      <c r="EE261" s="125"/>
      <c r="EF261" s="125"/>
      <c r="EG261" s="125"/>
      <c r="EH261" s="125"/>
      <c r="EI261" s="125"/>
      <c r="EJ261" s="125"/>
      <c r="EK261" s="125"/>
      <c r="EL261" s="125"/>
      <c r="EM261" s="125"/>
      <c r="EN261" s="125"/>
      <c r="EO261" s="125"/>
      <c r="EP261" s="125"/>
      <c r="EQ261" s="125"/>
      <c r="ER261" s="125"/>
      <c r="ES261" s="125"/>
      <c r="ET261" s="125"/>
      <c r="EU261" s="125"/>
      <c r="EV261" s="125"/>
      <c r="EW261" s="125"/>
      <c r="EX261" s="125"/>
      <c r="EY261" s="125"/>
      <c r="EZ261" s="125"/>
      <c r="FA261" s="125"/>
      <c r="FB261" s="125"/>
      <c r="FC261" s="125"/>
      <c r="FD261" s="125"/>
      <c r="FE261" s="125"/>
      <c r="FF261" s="125"/>
      <c r="FG261" s="125"/>
      <c r="FH261" s="125"/>
      <c r="FI261" s="125"/>
      <c r="FJ261" s="125"/>
      <c r="FK261" s="125"/>
      <c r="FL261" s="125"/>
      <c r="FM261" s="125"/>
      <c r="FN261" s="125"/>
      <c r="FO261" s="125"/>
      <c r="FP261" s="125"/>
      <c r="FQ261" s="125"/>
      <c r="FR261" s="125"/>
      <c r="FS261" s="125"/>
      <c r="FT261" s="125"/>
      <c r="FU261" s="125"/>
      <c r="FV261" s="125"/>
      <c r="FW261" s="125"/>
      <c r="FX261" s="125"/>
      <c r="FY261" s="125"/>
    </row>
    <row r="262" spans="4:181" ht="7.5" customHeight="1">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Y262" s="125"/>
      <c r="BZ262" s="125"/>
      <c r="CA262" s="125"/>
      <c r="CB262" s="125"/>
      <c r="CC262" s="125"/>
      <c r="CD262" s="125"/>
      <c r="CE262" s="125"/>
      <c r="CF262" s="125"/>
      <c r="CG262" s="125"/>
      <c r="CH262" s="125"/>
      <c r="CI262" s="125"/>
      <c r="CJ262" s="125"/>
      <c r="CK262" s="125"/>
      <c r="CL262" s="125"/>
      <c r="CM262" s="125"/>
      <c r="CN262" s="125"/>
      <c r="CO262" s="125"/>
      <c r="CP262" s="125"/>
      <c r="CQ262" s="125"/>
      <c r="CR262" s="125"/>
      <c r="CS262" s="125"/>
      <c r="CT262" s="125"/>
      <c r="CU262" s="125"/>
      <c r="CV262" s="125"/>
      <c r="CW262" s="125"/>
      <c r="CX262" s="125"/>
      <c r="CY262" s="125"/>
      <c r="CZ262" s="125"/>
      <c r="DA262" s="125"/>
      <c r="DB262" s="125"/>
      <c r="DC262" s="125"/>
      <c r="DD262" s="125"/>
      <c r="DE262" s="125"/>
      <c r="DF262" s="125"/>
      <c r="DG262" s="125"/>
      <c r="DH262" s="125"/>
      <c r="DI262" s="125"/>
      <c r="DJ262" s="125"/>
      <c r="DK262" s="125"/>
      <c r="DL262" s="125"/>
      <c r="DM262" s="125"/>
      <c r="DN262" s="125"/>
      <c r="DO262" s="125"/>
      <c r="DP262" s="125"/>
      <c r="DQ262" s="125"/>
      <c r="DR262" s="125"/>
      <c r="DS262" s="125"/>
      <c r="DT262" s="125"/>
      <c r="DU262" s="125"/>
      <c r="DV262" s="125"/>
      <c r="DW262" s="125"/>
      <c r="DX262" s="125"/>
      <c r="DY262" s="125"/>
      <c r="DZ262" s="125"/>
      <c r="EA262" s="125"/>
      <c r="EB262" s="125"/>
      <c r="EC262" s="125"/>
      <c r="ED262" s="125"/>
      <c r="EE262" s="125"/>
      <c r="EF262" s="125"/>
      <c r="EG262" s="125"/>
      <c r="EH262" s="125"/>
      <c r="EI262" s="125"/>
      <c r="EJ262" s="125"/>
      <c r="EK262" s="125"/>
      <c r="EL262" s="125"/>
      <c r="EM262" s="125"/>
      <c r="EN262" s="125"/>
      <c r="EO262" s="125"/>
      <c r="EP262" s="125"/>
      <c r="EQ262" s="125"/>
      <c r="ER262" s="125"/>
      <c r="ES262" s="125"/>
      <c r="ET262" s="125"/>
      <c r="EU262" s="125"/>
      <c r="EV262" s="125"/>
      <c r="EW262" s="125"/>
      <c r="EX262" s="125"/>
      <c r="EY262" s="125"/>
      <c r="EZ262" s="125"/>
      <c r="FA262" s="125"/>
      <c r="FB262" s="125"/>
      <c r="FC262" s="125"/>
      <c r="FD262" s="125"/>
      <c r="FE262" s="125"/>
      <c r="FF262" s="125"/>
      <c r="FG262" s="125"/>
      <c r="FH262" s="125"/>
      <c r="FI262" s="125"/>
      <c r="FJ262" s="125"/>
      <c r="FK262" s="125"/>
      <c r="FL262" s="125"/>
      <c r="FM262" s="125"/>
      <c r="FN262" s="125"/>
      <c r="FO262" s="125"/>
      <c r="FP262" s="125"/>
      <c r="FQ262" s="125"/>
      <c r="FR262" s="125"/>
      <c r="FS262" s="125"/>
      <c r="FT262" s="125"/>
      <c r="FU262" s="125"/>
      <c r="FV262" s="125"/>
      <c r="FW262" s="125"/>
      <c r="FX262" s="125"/>
      <c r="FY262" s="125"/>
    </row>
    <row r="263" spans="4:181" ht="7.5" customHeight="1">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Y263" s="125"/>
      <c r="BZ263" s="125"/>
      <c r="CA263" s="125"/>
      <c r="CB263" s="125"/>
      <c r="CC263" s="125"/>
      <c r="CD263" s="125"/>
      <c r="CE263" s="125"/>
      <c r="CF263" s="125"/>
      <c r="CG263" s="125"/>
      <c r="CH263" s="125"/>
      <c r="CI263" s="125"/>
      <c r="CJ263" s="125"/>
      <c r="CK263" s="125"/>
      <c r="CL263" s="125"/>
      <c r="CM263" s="125"/>
      <c r="CN263" s="125"/>
      <c r="CO263" s="125"/>
      <c r="CP263" s="125"/>
      <c r="CQ263" s="125"/>
      <c r="CR263" s="125"/>
      <c r="CS263" s="125"/>
      <c r="CT263" s="125"/>
      <c r="CU263" s="125"/>
      <c r="CV263" s="125"/>
      <c r="CW263" s="125"/>
      <c r="CX263" s="125"/>
      <c r="CY263" s="125"/>
      <c r="CZ263" s="125"/>
      <c r="DA263" s="125"/>
      <c r="DB263" s="125"/>
      <c r="DC263" s="125"/>
      <c r="DD263" s="125"/>
      <c r="DE263" s="125"/>
      <c r="DF263" s="125"/>
      <c r="DG263" s="125"/>
      <c r="DH263" s="125"/>
      <c r="DI263" s="125"/>
      <c r="DJ263" s="125"/>
      <c r="DK263" s="125"/>
      <c r="DL263" s="125"/>
      <c r="DM263" s="125"/>
      <c r="DN263" s="125"/>
      <c r="DO263" s="125"/>
      <c r="DP263" s="125"/>
      <c r="DQ263" s="125"/>
      <c r="DR263" s="125"/>
      <c r="DS263" s="125"/>
      <c r="DT263" s="125"/>
      <c r="DU263" s="125"/>
      <c r="DV263" s="125"/>
      <c r="DW263" s="125"/>
      <c r="DX263" s="125"/>
      <c r="DY263" s="125"/>
      <c r="DZ263" s="125"/>
      <c r="EA263" s="125"/>
      <c r="EB263" s="125"/>
      <c r="EC263" s="125"/>
      <c r="ED263" s="125"/>
      <c r="EE263" s="125"/>
      <c r="EF263" s="125"/>
      <c r="EG263" s="125"/>
      <c r="EH263" s="125"/>
      <c r="EI263" s="125"/>
      <c r="EJ263" s="125"/>
      <c r="EK263" s="125"/>
      <c r="EL263" s="125"/>
      <c r="EM263" s="125"/>
      <c r="EN263" s="125"/>
      <c r="EO263" s="125"/>
      <c r="EP263" s="125"/>
      <c r="EQ263" s="125"/>
      <c r="ER263" s="125"/>
      <c r="ES263" s="125"/>
      <c r="ET263" s="125"/>
      <c r="EU263" s="125"/>
      <c r="EV263" s="125"/>
      <c r="EW263" s="125"/>
      <c r="EX263" s="125"/>
      <c r="EY263" s="125"/>
      <c r="EZ263" s="125"/>
      <c r="FA263" s="125"/>
      <c r="FB263" s="125"/>
      <c r="FC263" s="125"/>
      <c r="FD263" s="125"/>
      <c r="FE263" s="125"/>
      <c r="FF263" s="125"/>
      <c r="FG263" s="125"/>
      <c r="FH263" s="125"/>
      <c r="FI263" s="125"/>
      <c r="FJ263" s="125"/>
      <c r="FK263" s="125"/>
      <c r="FL263" s="125"/>
      <c r="FM263" s="125"/>
      <c r="FN263" s="125"/>
      <c r="FO263" s="125"/>
      <c r="FP263" s="125"/>
      <c r="FQ263" s="125"/>
      <c r="FR263" s="125"/>
      <c r="FS263" s="125"/>
      <c r="FT263" s="125"/>
      <c r="FU263" s="125"/>
      <c r="FV263" s="125"/>
      <c r="FW263" s="125"/>
      <c r="FX263" s="125"/>
      <c r="FY263" s="125"/>
    </row>
    <row r="264" spans="4:181" ht="7.5" customHeight="1">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c r="DF264" s="125"/>
      <c r="DG264" s="125"/>
      <c r="DH264" s="125"/>
      <c r="DI264" s="125"/>
      <c r="DJ264" s="125"/>
      <c r="DK264" s="125"/>
      <c r="DL264" s="125"/>
      <c r="DM264" s="125"/>
      <c r="DN264" s="125"/>
      <c r="DO264" s="125"/>
      <c r="DP264" s="125"/>
      <c r="DQ264" s="125"/>
      <c r="DR264" s="125"/>
      <c r="DS264" s="125"/>
      <c r="DT264" s="125"/>
      <c r="DU264" s="125"/>
      <c r="DV264" s="125"/>
      <c r="DW264" s="125"/>
      <c r="DX264" s="125"/>
      <c r="DY264" s="125"/>
      <c r="DZ264" s="125"/>
      <c r="EA264" s="125"/>
      <c r="EB264" s="125"/>
      <c r="EC264" s="125"/>
      <c r="ED264" s="125"/>
      <c r="EE264" s="125"/>
      <c r="EF264" s="125"/>
      <c r="EG264" s="125"/>
      <c r="EH264" s="125"/>
      <c r="EI264" s="125"/>
      <c r="EJ264" s="125"/>
      <c r="EK264" s="125"/>
      <c r="EL264" s="125"/>
      <c r="EM264" s="125"/>
      <c r="EN264" s="125"/>
      <c r="EO264" s="125"/>
      <c r="EP264" s="125"/>
      <c r="EQ264" s="125"/>
      <c r="ER264" s="125"/>
      <c r="ES264" s="125"/>
      <c r="ET264" s="125"/>
      <c r="EU264" s="125"/>
      <c r="EV264" s="125"/>
      <c r="EW264" s="125"/>
      <c r="EX264" s="125"/>
      <c r="EY264" s="125"/>
      <c r="EZ264" s="125"/>
      <c r="FA264" s="125"/>
      <c r="FB264" s="125"/>
      <c r="FC264" s="125"/>
      <c r="FD264" s="125"/>
      <c r="FE264" s="125"/>
      <c r="FF264" s="125"/>
      <c r="FG264" s="125"/>
      <c r="FH264" s="125"/>
      <c r="FI264" s="125"/>
      <c r="FJ264" s="125"/>
      <c r="FK264" s="125"/>
      <c r="FL264" s="125"/>
      <c r="FM264" s="125"/>
      <c r="FN264" s="125"/>
      <c r="FO264" s="125"/>
      <c r="FP264" s="125"/>
      <c r="FQ264" s="125"/>
      <c r="FR264" s="125"/>
      <c r="FS264" s="125"/>
      <c r="FT264" s="125"/>
      <c r="FU264" s="125"/>
      <c r="FV264" s="125"/>
      <c r="FW264" s="125"/>
      <c r="FX264" s="125"/>
      <c r="FY264" s="125"/>
    </row>
    <row r="265" spans="4:110" ht="7.5" customHeight="1">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row>
    <row r="266" spans="4:74" ht="7.5" customHeight="1">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row>
    <row r="267" spans="4:74" ht="7.5" customHeight="1">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row>
    <row r="268" spans="4:74" ht="7.5" customHeight="1">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row>
    <row r="269" spans="4:74" ht="7.5" customHeight="1">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row>
    <row r="270" spans="4:74" ht="7.5" customHeight="1">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row>
    <row r="271" spans="4:74" ht="7.5" customHeight="1">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row>
    <row r="272" spans="4:74" ht="15">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row>
  </sheetData>
  <sheetProtection password="CEEF" sheet="1" selectLockedCells="1"/>
  <mergeCells count="1665">
    <mergeCell ref="AM41:BV42"/>
    <mergeCell ref="DI22:EP23"/>
    <mergeCell ref="DI84:EP85"/>
    <mergeCell ref="DI113:EP114"/>
    <mergeCell ref="V185:AK186"/>
    <mergeCell ref="CL184:CN184"/>
    <mergeCell ref="CL182:CN183"/>
    <mergeCell ref="CT184:CV184"/>
    <mergeCell ref="CT182:CV183"/>
    <mergeCell ref="B81:AK82"/>
    <mergeCell ref="DD82:DF83"/>
    <mergeCell ref="CN145:DF146"/>
    <mergeCell ref="AM122:AO123"/>
    <mergeCell ref="BG142:BI143"/>
    <mergeCell ref="BG130:BI131"/>
    <mergeCell ref="BG139:BI140"/>
    <mergeCell ref="BY145:CJ146"/>
    <mergeCell ref="CK145:CM146"/>
    <mergeCell ref="BG133:BI134"/>
    <mergeCell ref="AP122:AR123"/>
    <mergeCell ref="CC184:CE184"/>
    <mergeCell ref="CC182:CE183"/>
    <mergeCell ref="EP48:EP49"/>
    <mergeCell ref="EJ48:EM49"/>
    <mergeCell ref="EF57:EJ58"/>
    <mergeCell ref="EF54:EJ55"/>
    <mergeCell ref="EN48:EO49"/>
    <mergeCell ref="EK57:EN58"/>
    <mergeCell ref="EO57:EP58"/>
    <mergeCell ref="BY59:DF60"/>
    <mergeCell ref="AJ2:BV2"/>
    <mergeCell ref="DI3:EP4"/>
    <mergeCell ref="DI6:EP7"/>
    <mergeCell ref="DI9:EP10"/>
    <mergeCell ref="A55:A56"/>
    <mergeCell ref="CW7:DE8"/>
    <mergeCell ref="CM7:CV8"/>
    <mergeCell ref="DS54:DV55"/>
    <mergeCell ref="DW54:DX55"/>
    <mergeCell ref="DV42:DW43"/>
    <mergeCell ref="BM61:BP62"/>
    <mergeCell ref="A67:A68"/>
    <mergeCell ref="A70:A71"/>
    <mergeCell ref="A73:A74"/>
    <mergeCell ref="B2:AI2"/>
    <mergeCell ref="X61:AA62"/>
    <mergeCell ref="P61:R62"/>
    <mergeCell ref="T61:V62"/>
    <mergeCell ref="T64:V65"/>
    <mergeCell ref="X70:AA71"/>
    <mergeCell ref="A58:A59"/>
    <mergeCell ref="A61:A62"/>
    <mergeCell ref="A64:A65"/>
    <mergeCell ref="P64:R65"/>
    <mergeCell ref="B41:AK42"/>
    <mergeCell ref="X64:AA65"/>
    <mergeCell ref="X58:AA59"/>
    <mergeCell ref="T58:V59"/>
    <mergeCell ref="T55:V56"/>
    <mergeCell ref="X55:AA56"/>
    <mergeCell ref="AK145:AL146"/>
    <mergeCell ref="AE139:AF140"/>
    <mergeCell ref="AK142:AL143"/>
    <mergeCell ref="AK133:AL134"/>
    <mergeCell ref="AH119:AK120"/>
    <mergeCell ref="A76:A77"/>
    <mergeCell ref="B83:BT84"/>
    <mergeCell ref="B86:BF87"/>
    <mergeCell ref="M101:N102"/>
    <mergeCell ref="AB101:AB102"/>
    <mergeCell ref="DE167:DF168"/>
    <mergeCell ref="AH161:AK162"/>
    <mergeCell ref="AG139:AJ140"/>
    <mergeCell ref="AH158:AJ159"/>
    <mergeCell ref="AK139:AL140"/>
    <mergeCell ref="AG145:AJ146"/>
    <mergeCell ref="BG148:BI149"/>
    <mergeCell ref="BY167:DD168"/>
    <mergeCell ref="AK148:AL149"/>
    <mergeCell ref="AE161:AG162"/>
    <mergeCell ref="P101:R102"/>
    <mergeCell ref="K158:Y159"/>
    <mergeCell ref="C101:J102"/>
    <mergeCell ref="K101:L102"/>
    <mergeCell ref="C110:J111"/>
    <mergeCell ref="K110:L111"/>
    <mergeCell ref="M110:N111"/>
    <mergeCell ref="B158:J159"/>
    <mergeCell ref="X113:AA114"/>
    <mergeCell ref="X107:AA108"/>
    <mergeCell ref="AN185:AT186"/>
    <mergeCell ref="CH182:CK183"/>
    <mergeCell ref="M116:N117"/>
    <mergeCell ref="M119:N120"/>
    <mergeCell ref="X155:AE156"/>
    <mergeCell ref="R182:AA183"/>
    <mergeCell ref="AB139:AD140"/>
    <mergeCell ref="P161:S162"/>
    <mergeCell ref="R133:S134"/>
    <mergeCell ref="N176:X177"/>
    <mergeCell ref="AB182:AD183"/>
    <mergeCell ref="AE182:AI183"/>
    <mergeCell ref="AJ176:AK177"/>
    <mergeCell ref="AB173:AD174"/>
    <mergeCell ref="AG173:AJ174"/>
    <mergeCell ref="AJ179:AK180"/>
    <mergeCell ref="S179:AF180"/>
    <mergeCell ref="AG179:AI180"/>
    <mergeCell ref="AK173:AL174"/>
    <mergeCell ref="B173:S174"/>
    <mergeCell ref="C98:J99"/>
    <mergeCell ref="K98:L99"/>
    <mergeCell ref="M98:N99"/>
    <mergeCell ref="K107:L108"/>
    <mergeCell ref="C107:J108"/>
    <mergeCell ref="C116:J117"/>
    <mergeCell ref="M107:N108"/>
    <mergeCell ref="C113:J114"/>
    <mergeCell ref="K113:L114"/>
    <mergeCell ref="M104:N105"/>
    <mergeCell ref="K104:L105"/>
    <mergeCell ref="V161:AD162"/>
    <mergeCell ref="W142:AA143"/>
    <mergeCell ref="T113:V114"/>
    <mergeCell ref="P116:R117"/>
    <mergeCell ref="T107:V108"/>
    <mergeCell ref="X119:AA120"/>
    <mergeCell ref="K116:L117"/>
    <mergeCell ref="AC110:AF111"/>
    <mergeCell ref="AB113:AB114"/>
    <mergeCell ref="K79:N80"/>
    <mergeCell ref="C95:N96"/>
    <mergeCell ref="T95:V96"/>
    <mergeCell ref="P70:R71"/>
    <mergeCell ref="T101:V102"/>
    <mergeCell ref="W139:AA140"/>
    <mergeCell ref="T139:V140"/>
    <mergeCell ref="T130:V131"/>
    <mergeCell ref="T70:V71"/>
    <mergeCell ref="P98:R99"/>
    <mergeCell ref="X73:AA74"/>
    <mergeCell ref="P73:R74"/>
    <mergeCell ref="T73:V74"/>
    <mergeCell ref="P76:R77"/>
    <mergeCell ref="X67:AA68"/>
    <mergeCell ref="P67:R68"/>
    <mergeCell ref="T67:V68"/>
    <mergeCell ref="X76:AA77"/>
    <mergeCell ref="AB110:AB111"/>
    <mergeCell ref="AB98:AB99"/>
    <mergeCell ref="X104:AA105"/>
    <mergeCell ref="AE145:AF146"/>
    <mergeCell ref="AB119:AB120"/>
    <mergeCell ref="AE142:AF143"/>
    <mergeCell ref="AB145:AD146"/>
    <mergeCell ref="AC101:AF102"/>
    <mergeCell ref="W145:AA146"/>
    <mergeCell ref="X122:AA123"/>
    <mergeCell ref="P107:R108"/>
    <mergeCell ref="X110:AA111"/>
    <mergeCell ref="X116:AA117"/>
    <mergeCell ref="P110:R111"/>
    <mergeCell ref="T110:V111"/>
    <mergeCell ref="P119:R120"/>
    <mergeCell ref="T119:V120"/>
    <mergeCell ref="P104:R105"/>
    <mergeCell ref="S155:T156"/>
    <mergeCell ref="B152:AI153"/>
    <mergeCell ref="AB142:AD143"/>
    <mergeCell ref="AE148:AF149"/>
    <mergeCell ref="W130:AA131"/>
    <mergeCell ref="B127:AI128"/>
    <mergeCell ref="AG142:AJ143"/>
    <mergeCell ref="C104:J105"/>
    <mergeCell ref="AG119:AG120"/>
    <mergeCell ref="C182:J183"/>
    <mergeCell ref="K182:M183"/>
    <mergeCell ref="N182:P183"/>
    <mergeCell ref="F170:Q171"/>
    <mergeCell ref="L176:M177"/>
    <mergeCell ref="C176:K177"/>
    <mergeCell ref="W173:AA174"/>
    <mergeCell ref="T173:V174"/>
    <mergeCell ref="AE173:AF174"/>
    <mergeCell ref="K161:M162"/>
    <mergeCell ref="T170:V171"/>
    <mergeCell ref="T161:U162"/>
    <mergeCell ref="P164:S165"/>
    <mergeCell ref="AF155:AG156"/>
    <mergeCell ref="AG170:AJ171"/>
    <mergeCell ref="Z158:AE159"/>
    <mergeCell ref="T164:U165"/>
    <mergeCell ref="W148:AA149"/>
    <mergeCell ref="B161:J162"/>
    <mergeCell ref="B170:E171"/>
    <mergeCell ref="T148:V149"/>
    <mergeCell ref="B179:B180"/>
    <mergeCell ref="C179:N180"/>
    <mergeCell ref="AJ152:AK153"/>
    <mergeCell ref="AB170:AD171"/>
    <mergeCell ref="AE170:AF171"/>
    <mergeCell ref="AM173:AT174"/>
    <mergeCell ref="AJ167:AK168"/>
    <mergeCell ref="N161:O162"/>
    <mergeCell ref="K164:M165"/>
    <mergeCell ref="N164:O165"/>
    <mergeCell ref="CM179:CP180"/>
    <mergeCell ref="CF179:CI180"/>
    <mergeCell ref="BY179:CE180"/>
    <mergeCell ref="AK170:AL171"/>
    <mergeCell ref="AU170:AW171"/>
    <mergeCell ref="AU179:AW180"/>
    <mergeCell ref="BA173:BU174"/>
    <mergeCell ref="AN179:AT180"/>
    <mergeCell ref="AN176:AT177"/>
    <mergeCell ref="AN170:AT171"/>
    <mergeCell ref="BA179:BU180"/>
    <mergeCell ref="AX179:AZ180"/>
    <mergeCell ref="AX176:AZ177"/>
    <mergeCell ref="H139:R140"/>
    <mergeCell ref="H142:R143"/>
    <mergeCell ref="C148:I149"/>
    <mergeCell ref="J148:R149"/>
    <mergeCell ref="H145:R146"/>
    <mergeCell ref="AM152:BT153"/>
    <mergeCell ref="AM150:BV151"/>
    <mergeCell ref="BB130:BE131"/>
    <mergeCell ref="BB133:BE134"/>
    <mergeCell ref="AZ119:BB120"/>
    <mergeCell ref="AC119:AF120"/>
    <mergeCell ref="AW119:AX120"/>
    <mergeCell ref="AY119:AY120"/>
    <mergeCell ref="AM119:AT120"/>
    <mergeCell ref="AK130:AL131"/>
    <mergeCell ref="AL122:AL123"/>
    <mergeCell ref="AL119:AL120"/>
    <mergeCell ref="BM116:BP117"/>
    <mergeCell ref="BQ116:BQ117"/>
    <mergeCell ref="BM113:BP114"/>
    <mergeCell ref="BL116:BL117"/>
    <mergeCell ref="K119:L120"/>
    <mergeCell ref="C119:J120"/>
    <mergeCell ref="M113:N114"/>
    <mergeCell ref="P113:R114"/>
    <mergeCell ref="T116:V117"/>
    <mergeCell ref="AB116:AB117"/>
    <mergeCell ref="BG119:BG120"/>
    <mergeCell ref="BU127:BV128"/>
    <mergeCell ref="AW116:AX117"/>
    <mergeCell ref="BR113:BU114"/>
    <mergeCell ref="BC119:BC120"/>
    <mergeCell ref="BG113:BG114"/>
    <mergeCell ref="BD119:BF120"/>
    <mergeCell ref="AY116:AY117"/>
    <mergeCell ref="BM119:BP120"/>
    <mergeCell ref="BH113:BK114"/>
    <mergeCell ref="GB159:GB160"/>
    <mergeCell ref="CQ130:CW131"/>
    <mergeCell ref="CH154:CK155"/>
    <mergeCell ref="CH160:CK161"/>
    <mergeCell ref="BY154:CG155"/>
    <mergeCell ref="EQ139:EQ140"/>
    <mergeCell ref="EN148:EP149"/>
    <mergeCell ref="EI154:EJ155"/>
    <mergeCell ref="ES156:EW157"/>
    <mergeCell ref="EA148:EC149"/>
    <mergeCell ref="DV148:DX149"/>
    <mergeCell ref="EJ73:EM74"/>
    <mergeCell ref="EA79:ED80"/>
    <mergeCell ref="EB39:EE40"/>
    <mergeCell ref="EB42:EE43"/>
    <mergeCell ref="DN57:DR58"/>
    <mergeCell ref="EI79:EI80"/>
    <mergeCell ref="EJ79:EM80"/>
    <mergeCell ref="EA76:ED77"/>
    <mergeCell ref="DR42:DU43"/>
    <mergeCell ref="FY15:GA18"/>
    <mergeCell ref="EJ130:EN131"/>
    <mergeCell ref="DI89:DX90"/>
    <mergeCell ref="DD108:DE109"/>
    <mergeCell ref="CZ108:DC109"/>
    <mergeCell ref="DE102:DF103"/>
    <mergeCell ref="DX48:DX49"/>
    <mergeCell ref="DG85:DG86"/>
    <mergeCell ref="CZ76:DC77"/>
    <mergeCell ref="ER15:FX18"/>
    <mergeCell ref="EQ145:EQ146"/>
    <mergeCell ref="EQ133:EQ134"/>
    <mergeCell ref="EQ148:EQ149"/>
    <mergeCell ref="BD116:BF117"/>
    <mergeCell ref="BL119:BL120"/>
    <mergeCell ref="BY124:CD125"/>
    <mergeCell ref="BH119:BK120"/>
    <mergeCell ref="BH116:BK117"/>
    <mergeCell ref="BQ119:BQ120"/>
    <mergeCell ref="BR122:BU123"/>
    <mergeCell ref="EQ136:EQ137"/>
    <mergeCell ref="BR116:BU117"/>
    <mergeCell ref="CJ124:CO125"/>
    <mergeCell ref="CP124:CS125"/>
    <mergeCell ref="CQ97:CX97"/>
    <mergeCell ref="DV45:DW46"/>
    <mergeCell ref="CY130:DE131"/>
    <mergeCell ref="DD111:DF112"/>
    <mergeCell ref="CY79:CY80"/>
    <mergeCell ref="CZ82:DC83"/>
    <mergeCell ref="EN164:EP165"/>
    <mergeCell ref="DY173:DZ174"/>
    <mergeCell ref="EN173:EP174"/>
    <mergeCell ref="ED185:EE186"/>
    <mergeCell ref="EQ164:EQ165"/>
    <mergeCell ref="EK176:EM177"/>
    <mergeCell ref="ED167:EE168"/>
    <mergeCell ref="EA167:EC168"/>
    <mergeCell ref="EQ170:EQ171"/>
    <mergeCell ref="EQ176:EQ177"/>
    <mergeCell ref="DJ164:DU165"/>
    <mergeCell ref="EA164:EC165"/>
    <mergeCell ref="EF185:EH186"/>
    <mergeCell ref="EK185:EM186"/>
    <mergeCell ref="EF176:EH177"/>
    <mergeCell ref="EI176:EJ177"/>
    <mergeCell ref="ED164:EE165"/>
    <mergeCell ref="DV182:DX183"/>
    <mergeCell ref="DJ182:DU183"/>
    <mergeCell ref="DY176:DZ177"/>
    <mergeCell ref="CU105:CX106"/>
    <mergeCell ref="CQ95:CW96"/>
    <mergeCell ref="CU111:CY112"/>
    <mergeCell ref="BY100:DF101"/>
    <mergeCell ref="CQ111:CT112"/>
    <mergeCell ref="DD105:DE106"/>
    <mergeCell ref="CY97:DE97"/>
    <mergeCell ref="BG61:BG62"/>
    <mergeCell ref="BQ107:BQ108"/>
    <mergeCell ref="B89:BO90"/>
    <mergeCell ref="BL98:BL99"/>
    <mergeCell ref="BQ104:BQ105"/>
    <mergeCell ref="BQ98:BQ99"/>
    <mergeCell ref="BL95:BQ96"/>
    <mergeCell ref="AZ98:BB99"/>
    <mergeCell ref="BC104:BC105"/>
    <mergeCell ref="BD76:BF77"/>
    <mergeCell ref="BC67:BC68"/>
    <mergeCell ref="BC70:BC71"/>
    <mergeCell ref="BM73:BP74"/>
    <mergeCell ref="BH122:BK123"/>
    <mergeCell ref="BM122:BP123"/>
    <mergeCell ref="BR104:BU105"/>
    <mergeCell ref="BH98:BK99"/>
    <mergeCell ref="BM98:BP99"/>
    <mergeCell ref="BD98:BF99"/>
    <mergeCell ref="BQ101:BQ102"/>
    <mergeCell ref="CU124:CY125"/>
    <mergeCell ref="BQ110:BQ111"/>
    <mergeCell ref="BQ113:BQ114"/>
    <mergeCell ref="BR110:BU111"/>
    <mergeCell ref="CZ124:DC125"/>
    <mergeCell ref="CT124:CT125"/>
    <mergeCell ref="CE124:CH125"/>
    <mergeCell ref="CQ121:CU122"/>
    <mergeCell ref="CQ118:CT119"/>
    <mergeCell ref="BR119:BU120"/>
    <mergeCell ref="EQ182:EQ183"/>
    <mergeCell ref="EF182:EH183"/>
    <mergeCell ref="EK164:EM165"/>
    <mergeCell ref="EI179:EJ180"/>
    <mergeCell ref="EI173:EJ174"/>
    <mergeCell ref="EK167:EM168"/>
    <mergeCell ref="EK170:EM171"/>
    <mergeCell ref="EQ167:EQ168"/>
    <mergeCell ref="EN182:EP183"/>
    <mergeCell ref="EN179:EP180"/>
    <mergeCell ref="EN167:EP168"/>
    <mergeCell ref="EA185:EC186"/>
    <mergeCell ref="EK154:EM155"/>
    <mergeCell ref="EA176:EC177"/>
    <mergeCell ref="ED154:EE155"/>
    <mergeCell ref="EE161:EI162"/>
    <mergeCell ref="EF164:EH165"/>
    <mergeCell ref="EI185:EJ186"/>
    <mergeCell ref="EK179:EM180"/>
    <mergeCell ref="EN185:EP186"/>
    <mergeCell ref="DJ173:DU174"/>
    <mergeCell ref="ED176:EE177"/>
    <mergeCell ref="EK182:EM183"/>
    <mergeCell ref="EI182:EJ183"/>
    <mergeCell ref="DY179:DZ180"/>
    <mergeCell ref="EK173:EM174"/>
    <mergeCell ref="EA182:EC183"/>
    <mergeCell ref="ED182:EE183"/>
    <mergeCell ref="ED179:EE180"/>
    <mergeCell ref="EK151:EM152"/>
    <mergeCell ref="BY113:DF114"/>
    <mergeCell ref="DV185:DX186"/>
    <mergeCell ref="DY185:DZ186"/>
    <mergeCell ref="DJ179:DU180"/>
    <mergeCell ref="DI185:DI186"/>
    <mergeCell ref="DH179:DH180"/>
    <mergeCell ref="DH182:DH183"/>
    <mergeCell ref="DH185:DH186"/>
    <mergeCell ref="DY182:DZ183"/>
    <mergeCell ref="DI182:DI183"/>
    <mergeCell ref="DD176:DE177"/>
    <mergeCell ref="CW182:DF183"/>
    <mergeCell ref="DI79:DZ80"/>
    <mergeCell ref="BY22:DF23"/>
    <mergeCell ref="DJ154:DU155"/>
    <mergeCell ref="DR45:DU46"/>
    <mergeCell ref="DN33:DQ34"/>
    <mergeCell ref="DJ39:DM40"/>
    <mergeCell ref="DV33:DW34"/>
    <mergeCell ref="EJ36:EM37"/>
    <mergeCell ref="EF39:EI40"/>
    <mergeCell ref="DV39:DW40"/>
    <mergeCell ref="EE130:EI131"/>
    <mergeCell ref="EN42:EO43"/>
    <mergeCell ref="EF48:EI49"/>
    <mergeCell ref="EJ45:EM46"/>
    <mergeCell ref="EF45:EI46"/>
    <mergeCell ref="EF42:EI43"/>
    <mergeCell ref="EJ42:EM43"/>
    <mergeCell ref="DR33:DU34"/>
    <mergeCell ref="EN27:EO28"/>
    <mergeCell ref="EB30:EE31"/>
    <mergeCell ref="EF30:EI31"/>
    <mergeCell ref="EN33:EO34"/>
    <mergeCell ref="EJ30:EM31"/>
    <mergeCell ref="EB27:EE28"/>
    <mergeCell ref="EF33:EI34"/>
    <mergeCell ref="EJ33:EM34"/>
    <mergeCell ref="DV27:DW28"/>
    <mergeCell ref="DN39:DQ40"/>
    <mergeCell ref="DV30:DW31"/>
    <mergeCell ref="DR36:DU37"/>
    <mergeCell ref="EN30:EO31"/>
    <mergeCell ref="EF27:EI28"/>
    <mergeCell ref="EJ27:EM28"/>
    <mergeCell ref="EF36:EI37"/>
    <mergeCell ref="EB36:EE37"/>
    <mergeCell ref="EB33:EE34"/>
    <mergeCell ref="DR30:DU31"/>
    <mergeCell ref="BY33:CP34"/>
    <mergeCell ref="CY33:CY34"/>
    <mergeCell ref="CZ39:DC40"/>
    <mergeCell ref="EN39:EO40"/>
    <mergeCell ref="DN30:DQ31"/>
    <mergeCell ref="DN36:DQ37"/>
    <mergeCell ref="EJ39:EM40"/>
    <mergeCell ref="EN36:EO37"/>
    <mergeCell ref="DR39:DU40"/>
    <mergeCell ref="DV36:DW37"/>
    <mergeCell ref="BP36:BS37"/>
    <mergeCell ref="AH36:AK37"/>
    <mergeCell ref="DJ33:DM34"/>
    <mergeCell ref="DD33:DF34"/>
    <mergeCell ref="DD36:DF37"/>
    <mergeCell ref="DJ30:DM31"/>
    <mergeCell ref="CQ30:CT31"/>
    <mergeCell ref="BY36:CP37"/>
    <mergeCell ref="DJ36:DM37"/>
    <mergeCell ref="CZ30:DC31"/>
    <mergeCell ref="CZ45:DC46"/>
    <mergeCell ref="DD54:DF55"/>
    <mergeCell ref="CZ36:DC37"/>
    <mergeCell ref="AM22:BV23"/>
    <mergeCell ref="CZ48:DC49"/>
    <mergeCell ref="DD42:DF43"/>
    <mergeCell ref="CU48:CX49"/>
    <mergeCell ref="CY48:CY49"/>
    <mergeCell ref="CU39:CX40"/>
    <mergeCell ref="BN36:BO37"/>
    <mergeCell ref="CZ54:DC55"/>
    <mergeCell ref="DJ42:DM43"/>
    <mergeCell ref="DV48:DW49"/>
    <mergeCell ref="DN45:DQ46"/>
    <mergeCell ref="DR48:DU49"/>
    <mergeCell ref="DD45:DF46"/>
    <mergeCell ref="DG45:DH46"/>
    <mergeCell ref="DD48:DF49"/>
    <mergeCell ref="DJ48:DM49"/>
    <mergeCell ref="DN42:DQ43"/>
    <mergeCell ref="EN45:EO46"/>
    <mergeCell ref="EB45:EE46"/>
    <mergeCell ref="DW51:DX52"/>
    <mergeCell ref="DJ54:DM55"/>
    <mergeCell ref="DJ45:DM46"/>
    <mergeCell ref="EB48:EE49"/>
    <mergeCell ref="DN48:DQ49"/>
    <mergeCell ref="DH54:DH55"/>
    <mergeCell ref="CZ57:DC58"/>
    <mergeCell ref="CZ51:DC52"/>
    <mergeCell ref="EB54:EE55"/>
    <mergeCell ref="EA51:EN52"/>
    <mergeCell ref="DS57:DV58"/>
    <mergeCell ref="DW57:DX58"/>
    <mergeCell ref="DI51:DV52"/>
    <mergeCell ref="DJ57:DM58"/>
    <mergeCell ref="DY54:DY55"/>
    <mergeCell ref="DY57:DY58"/>
    <mergeCell ref="EI64:EI65"/>
    <mergeCell ref="EE76:EH77"/>
    <mergeCell ref="DI64:DZ65"/>
    <mergeCell ref="DI67:DZ68"/>
    <mergeCell ref="EA64:ED65"/>
    <mergeCell ref="DI70:EP71"/>
    <mergeCell ref="EI73:EI74"/>
    <mergeCell ref="EE64:EH65"/>
    <mergeCell ref="EI76:EI77"/>
    <mergeCell ref="EJ76:EM77"/>
    <mergeCell ref="CQ82:CT83"/>
    <mergeCell ref="CU82:CX83"/>
    <mergeCell ref="BY76:CP77"/>
    <mergeCell ref="EI67:EI68"/>
    <mergeCell ref="DH76:DH77"/>
    <mergeCell ref="CU79:CX80"/>
    <mergeCell ref="CU67:CX68"/>
    <mergeCell ref="CU70:CX71"/>
    <mergeCell ref="CZ73:DC74"/>
    <mergeCell ref="EE79:EH80"/>
    <mergeCell ref="CQ39:CT40"/>
    <mergeCell ref="BY45:CP46"/>
    <mergeCell ref="BY39:CP40"/>
    <mergeCell ref="CQ45:CT46"/>
    <mergeCell ref="BY19:DF21"/>
    <mergeCell ref="CY36:CY37"/>
    <mergeCell ref="CU33:CX34"/>
    <mergeCell ref="CY30:CY31"/>
    <mergeCell ref="CQ33:CT34"/>
    <mergeCell ref="B19:BV21"/>
    <mergeCell ref="BI27:BU28"/>
    <mergeCell ref="CU27:CX28"/>
    <mergeCell ref="AM27:AU28"/>
    <mergeCell ref="AV27:AY28"/>
    <mergeCell ref="K27:AK28"/>
    <mergeCell ref="C27:J28"/>
    <mergeCell ref="AM24:BT25"/>
    <mergeCell ref="AZ27:BA28"/>
    <mergeCell ref="P33:S34"/>
    <mergeCell ref="AA33:AD34"/>
    <mergeCell ref="BC33:BF34"/>
    <mergeCell ref="B30:F31"/>
    <mergeCell ref="G30:T31"/>
    <mergeCell ref="CY45:CY46"/>
    <mergeCell ref="BG33:BI34"/>
    <mergeCell ref="AC36:AE37"/>
    <mergeCell ref="BT36:BV37"/>
    <mergeCell ref="AM36:BG37"/>
    <mergeCell ref="CQ85:CT86"/>
    <mergeCell ref="CZ85:DC86"/>
    <mergeCell ref="BY82:CP83"/>
    <mergeCell ref="BY79:CP80"/>
    <mergeCell ref="CQ79:CT80"/>
    <mergeCell ref="BY85:CP86"/>
    <mergeCell ref="CY82:CY83"/>
    <mergeCell ref="BZ121:CP122"/>
    <mergeCell ref="CI124:CI125"/>
    <mergeCell ref="CQ105:CT106"/>
    <mergeCell ref="CQ108:CT109"/>
    <mergeCell ref="BY118:CP119"/>
    <mergeCell ref="CA111:CP112"/>
    <mergeCell ref="BZ105:CP106"/>
    <mergeCell ref="CY105:CY106"/>
    <mergeCell ref="CZ105:DC106"/>
    <mergeCell ref="BH95:BK96"/>
    <mergeCell ref="BH79:BK80"/>
    <mergeCell ref="BM86:BN87"/>
    <mergeCell ref="BR98:BU99"/>
    <mergeCell ref="CY95:DE96"/>
    <mergeCell ref="CZ79:DC80"/>
    <mergeCell ref="CY85:CY86"/>
    <mergeCell ref="BY87:DF88"/>
    <mergeCell ref="BY95:CP96"/>
    <mergeCell ref="CQ92:CW93"/>
    <mergeCell ref="BY89:DD90"/>
    <mergeCell ref="BK86:BL87"/>
    <mergeCell ref="BO86:BR87"/>
    <mergeCell ref="BY92:CP93"/>
    <mergeCell ref="CY92:DE93"/>
    <mergeCell ref="BS86:BU87"/>
    <mergeCell ref="DD85:DF86"/>
    <mergeCell ref="CU85:CX86"/>
    <mergeCell ref="BG98:BG99"/>
    <mergeCell ref="BG86:BJ87"/>
    <mergeCell ref="AZ95:BB96"/>
    <mergeCell ref="BH92:BV93"/>
    <mergeCell ref="BR95:BV96"/>
    <mergeCell ref="AM81:BV82"/>
    <mergeCell ref="AM98:AT99"/>
    <mergeCell ref="AM95:AW96"/>
    <mergeCell ref="BD95:BF96"/>
    <mergeCell ref="BD73:BF74"/>
    <mergeCell ref="BH73:BK74"/>
    <mergeCell ref="BC73:BC74"/>
    <mergeCell ref="BH101:BK102"/>
    <mergeCell ref="BP89:BS90"/>
    <mergeCell ref="BM79:BP80"/>
    <mergeCell ref="BD79:BF80"/>
    <mergeCell ref="BG101:BG102"/>
    <mergeCell ref="AM92:BF93"/>
    <mergeCell ref="AY76:AY77"/>
    <mergeCell ref="BD70:BF71"/>
    <mergeCell ref="BD101:BF102"/>
    <mergeCell ref="BM101:BP102"/>
    <mergeCell ref="BC98:BC99"/>
    <mergeCell ref="BH76:BK77"/>
    <mergeCell ref="BW83:BW84"/>
    <mergeCell ref="BM76:BP77"/>
    <mergeCell ref="BR76:BU77"/>
    <mergeCell ref="BW80:BW81"/>
    <mergeCell ref="BC76:BC77"/>
    <mergeCell ref="BL110:BL111"/>
    <mergeCell ref="BM67:BP68"/>
    <mergeCell ref="BW64:BW65"/>
    <mergeCell ref="BR73:BU74"/>
    <mergeCell ref="BR79:BU80"/>
    <mergeCell ref="BW67:BW68"/>
    <mergeCell ref="BR67:BU68"/>
    <mergeCell ref="BW76:BW77"/>
    <mergeCell ref="BR107:BU108"/>
    <mergeCell ref="BR101:BU102"/>
    <mergeCell ref="AZ110:BB111"/>
    <mergeCell ref="AY113:AY114"/>
    <mergeCell ref="BC113:BC114"/>
    <mergeCell ref="BM110:BP111"/>
    <mergeCell ref="BD113:BF114"/>
    <mergeCell ref="BD110:BF111"/>
    <mergeCell ref="BH110:BK111"/>
    <mergeCell ref="BL113:BL114"/>
    <mergeCell ref="BC110:BC111"/>
    <mergeCell ref="BG110:BG111"/>
    <mergeCell ref="BL107:BL108"/>
    <mergeCell ref="AY104:AY105"/>
    <mergeCell ref="AZ116:BB117"/>
    <mergeCell ref="BG116:BG117"/>
    <mergeCell ref="AW113:AX114"/>
    <mergeCell ref="BC116:BC117"/>
    <mergeCell ref="AZ113:BB114"/>
    <mergeCell ref="BD104:BF105"/>
    <mergeCell ref="BG104:BG105"/>
    <mergeCell ref="BG107:BG108"/>
    <mergeCell ref="AM110:AT111"/>
    <mergeCell ref="AU110:AV111"/>
    <mergeCell ref="AM107:AT108"/>
    <mergeCell ref="BM107:BP108"/>
    <mergeCell ref="BH104:BK105"/>
    <mergeCell ref="BD107:BF108"/>
    <mergeCell ref="BC107:BC108"/>
    <mergeCell ref="AZ107:BB108"/>
    <mergeCell ref="BL104:BL105"/>
    <mergeCell ref="BM104:BP105"/>
    <mergeCell ref="AG110:AG111"/>
    <mergeCell ref="AL110:AL111"/>
    <mergeCell ref="AC107:AF108"/>
    <mergeCell ref="AU113:AV114"/>
    <mergeCell ref="AB107:AB108"/>
    <mergeCell ref="AH116:AK117"/>
    <mergeCell ref="AG113:AG114"/>
    <mergeCell ref="AG116:AG117"/>
    <mergeCell ref="AU116:AV117"/>
    <mergeCell ref="AH110:AK111"/>
    <mergeCell ref="AU119:AV120"/>
    <mergeCell ref="AC116:AF117"/>
    <mergeCell ref="AH113:AK114"/>
    <mergeCell ref="AM113:AT114"/>
    <mergeCell ref="AC113:AF114"/>
    <mergeCell ref="AL113:AL114"/>
    <mergeCell ref="AM101:AT102"/>
    <mergeCell ref="AG104:AG105"/>
    <mergeCell ref="AL107:AL108"/>
    <mergeCell ref="AU104:AV105"/>
    <mergeCell ref="AH104:AK105"/>
    <mergeCell ref="AG107:AG108"/>
    <mergeCell ref="AL104:AL105"/>
    <mergeCell ref="AH101:AK102"/>
    <mergeCell ref="AH107:AK108"/>
    <mergeCell ref="AW110:AX111"/>
    <mergeCell ref="AW101:AX102"/>
    <mergeCell ref="BU83:BV84"/>
    <mergeCell ref="AH98:AK99"/>
    <mergeCell ref="AY110:AY111"/>
    <mergeCell ref="BL101:BL102"/>
    <mergeCell ref="AZ104:BB105"/>
    <mergeCell ref="AY101:AY102"/>
    <mergeCell ref="AH95:AL96"/>
    <mergeCell ref="AY107:AY108"/>
    <mergeCell ref="T98:V99"/>
    <mergeCell ref="X98:AA99"/>
    <mergeCell ref="X101:AA102"/>
    <mergeCell ref="AG101:AG102"/>
    <mergeCell ref="AC104:AF105"/>
    <mergeCell ref="AW98:AX99"/>
    <mergeCell ref="AM104:AT105"/>
    <mergeCell ref="AB104:AB105"/>
    <mergeCell ref="T104:V105"/>
    <mergeCell ref="AC98:AF99"/>
    <mergeCell ref="AH79:AK80"/>
    <mergeCell ref="AM79:AO80"/>
    <mergeCell ref="AP79:AT80"/>
    <mergeCell ref="AU79:AX80"/>
    <mergeCell ref="AZ76:BB77"/>
    <mergeCell ref="AG98:AG99"/>
    <mergeCell ref="AU98:AV99"/>
    <mergeCell ref="AW76:AX77"/>
    <mergeCell ref="AZ79:BB80"/>
    <mergeCell ref="AL98:AL99"/>
    <mergeCell ref="AH67:AK68"/>
    <mergeCell ref="AC67:AF68"/>
    <mergeCell ref="AH76:AK77"/>
    <mergeCell ref="AL67:AL68"/>
    <mergeCell ref="AL70:AL71"/>
    <mergeCell ref="AL76:AL77"/>
    <mergeCell ref="AC76:AF77"/>
    <mergeCell ref="AH70:AK71"/>
    <mergeCell ref="AZ73:BB74"/>
    <mergeCell ref="BR70:BU71"/>
    <mergeCell ref="BM70:BP71"/>
    <mergeCell ref="BM64:BP65"/>
    <mergeCell ref="AY70:AY71"/>
    <mergeCell ref="P95:R96"/>
    <mergeCell ref="P79:R80"/>
    <mergeCell ref="T79:V80"/>
    <mergeCell ref="X79:AA80"/>
    <mergeCell ref="AC70:AF71"/>
    <mergeCell ref="BG58:BG59"/>
    <mergeCell ref="BH58:BK59"/>
    <mergeCell ref="BC58:BC59"/>
    <mergeCell ref="AZ64:BB65"/>
    <mergeCell ref="AZ70:BB71"/>
    <mergeCell ref="AZ67:BB68"/>
    <mergeCell ref="BG64:BG65"/>
    <mergeCell ref="BD64:BF65"/>
    <mergeCell ref="BH64:BK65"/>
    <mergeCell ref="BD61:BF62"/>
    <mergeCell ref="BD67:BF68"/>
    <mergeCell ref="CY64:CY65"/>
    <mergeCell ref="AZ61:BB62"/>
    <mergeCell ref="BR61:BU62"/>
    <mergeCell ref="BH67:BK68"/>
    <mergeCell ref="BC61:BC62"/>
    <mergeCell ref="BC64:BC65"/>
    <mergeCell ref="BR64:BU65"/>
    <mergeCell ref="CQ64:CT65"/>
    <mergeCell ref="BH61:BK62"/>
    <mergeCell ref="C185:J186"/>
    <mergeCell ref="R170:S171"/>
    <mergeCell ref="CY42:CY43"/>
    <mergeCell ref="CZ42:DC43"/>
    <mergeCell ref="CU51:CX52"/>
    <mergeCell ref="CU42:CX43"/>
    <mergeCell ref="CQ42:CT43"/>
    <mergeCell ref="BY48:CP49"/>
    <mergeCell ref="CQ48:CT49"/>
    <mergeCell ref="CU45:CX46"/>
    <mergeCell ref="AX182:AZ183"/>
    <mergeCell ref="T185:U186"/>
    <mergeCell ref="O179:R180"/>
    <mergeCell ref="W170:AA171"/>
    <mergeCell ref="K185:M186"/>
    <mergeCell ref="AU176:AW177"/>
    <mergeCell ref="AU182:AW183"/>
    <mergeCell ref="Y176:Z177"/>
    <mergeCell ref="AN182:AT183"/>
    <mergeCell ref="P185:S186"/>
    <mergeCell ref="N185:O186"/>
    <mergeCell ref="AB130:AD131"/>
    <mergeCell ref="AE133:AF134"/>
    <mergeCell ref="AF158:AG159"/>
    <mergeCell ref="B167:AI168"/>
    <mergeCell ref="T133:AA134"/>
    <mergeCell ref="AE130:AF131"/>
    <mergeCell ref="H133:H134"/>
    <mergeCell ref="B155:J156"/>
    <mergeCell ref="M155:R156"/>
    <mergeCell ref="EF151:EH152"/>
    <mergeCell ref="EI151:EJ152"/>
    <mergeCell ref="AB133:AD134"/>
    <mergeCell ref="B164:J165"/>
    <mergeCell ref="C133:G134"/>
    <mergeCell ref="BB145:BE146"/>
    <mergeCell ref="BB139:BE140"/>
    <mergeCell ref="BB142:BE143"/>
    <mergeCell ref="T136:Z137"/>
    <mergeCell ref="C136:R137"/>
    <mergeCell ref="EY168:FT169"/>
    <mergeCell ref="FV168:FZ169"/>
    <mergeCell ref="ES165:EW166"/>
    <mergeCell ref="FV171:FZ172"/>
    <mergeCell ref="FV174:FZ175"/>
    <mergeCell ref="CU133:CW134"/>
    <mergeCell ref="CX133:DB134"/>
    <mergeCell ref="DY167:DZ168"/>
    <mergeCell ref="EF167:EH168"/>
    <mergeCell ref="EI167:EJ168"/>
    <mergeCell ref="FV162:FZ163"/>
    <mergeCell ref="EY159:FT160"/>
    <mergeCell ref="EX162:EX163"/>
    <mergeCell ref="EX159:EX160"/>
    <mergeCell ref="EQ151:EQ152"/>
    <mergeCell ref="FV177:FZ178"/>
    <mergeCell ref="ES171:EW172"/>
    <mergeCell ref="EY171:FT172"/>
    <mergeCell ref="FV165:FZ166"/>
    <mergeCell ref="ES168:EW169"/>
    <mergeCell ref="EI148:EJ149"/>
    <mergeCell ref="EK142:EM143"/>
    <mergeCell ref="EK136:EM137"/>
    <mergeCell ref="EK145:EM146"/>
    <mergeCell ref="EK139:EM140"/>
    <mergeCell ref="EY165:FT166"/>
    <mergeCell ref="ES159:EW160"/>
    <mergeCell ref="ES162:EW163"/>
    <mergeCell ref="EY162:FT163"/>
    <mergeCell ref="EN151:EP152"/>
    <mergeCell ref="EF148:EH149"/>
    <mergeCell ref="EI164:EJ165"/>
    <mergeCell ref="EI142:EJ143"/>
    <mergeCell ref="CQ133:CT134"/>
    <mergeCell ref="DY142:DZ143"/>
    <mergeCell ref="ED136:EE137"/>
    <mergeCell ref="EI136:EJ137"/>
    <mergeCell ref="ED145:EE146"/>
    <mergeCell ref="EI145:EJ146"/>
    <mergeCell ref="ED139:EE140"/>
    <mergeCell ref="BB136:BE137"/>
    <mergeCell ref="BY157:CG158"/>
    <mergeCell ref="BY151:CG152"/>
    <mergeCell ref="BY148:CG149"/>
    <mergeCell ref="AX170:AZ171"/>
    <mergeCell ref="AU173:AW174"/>
    <mergeCell ref="AX173:AZ174"/>
    <mergeCell ref="BR142:BU143"/>
    <mergeCell ref="BR145:BU146"/>
    <mergeCell ref="BU152:BV153"/>
    <mergeCell ref="DA176:DC177"/>
    <mergeCell ref="CU170:CX171"/>
    <mergeCell ref="CY170:CY171"/>
    <mergeCell ref="CL176:CN177"/>
    <mergeCell ref="BY173:CJ174"/>
    <mergeCell ref="DB173:DE174"/>
    <mergeCell ref="DD170:DF171"/>
    <mergeCell ref="ED148:EE149"/>
    <mergeCell ref="ED151:EE152"/>
    <mergeCell ref="DY154:DZ155"/>
    <mergeCell ref="EA154:EC155"/>
    <mergeCell ref="CT148:CU149"/>
    <mergeCell ref="CO173:DA174"/>
    <mergeCell ref="CQ163:CT164"/>
    <mergeCell ref="CL163:CP164"/>
    <mergeCell ref="CK170:CQ171"/>
    <mergeCell ref="CZ170:DC171"/>
    <mergeCell ref="DV170:DX171"/>
    <mergeCell ref="CR170:CT171"/>
    <mergeCell ref="DH176:DH177"/>
    <mergeCell ref="DH173:DH174"/>
    <mergeCell ref="BA185:BU186"/>
    <mergeCell ref="CF182:CG183"/>
    <mergeCell ref="DI173:DI174"/>
    <mergeCell ref="DI176:DI177"/>
    <mergeCell ref="CQ176:CZ177"/>
    <mergeCell ref="CH170:CJ171"/>
    <mergeCell ref="CJ179:CL180"/>
    <mergeCell ref="BA170:BU171"/>
    <mergeCell ref="CO154:CQ155"/>
    <mergeCell ref="CO176:CP177"/>
    <mergeCell ref="BA182:BU183"/>
    <mergeCell ref="BY163:CG164"/>
    <mergeCell ref="BY170:CG171"/>
    <mergeCell ref="CQ157:CT158"/>
    <mergeCell ref="BA176:BU177"/>
    <mergeCell ref="CK173:CN174"/>
    <mergeCell ref="BY139:CP140"/>
    <mergeCell ref="CR154:CT155"/>
    <mergeCell ref="CP148:CS149"/>
    <mergeCell ref="CU139:CW140"/>
    <mergeCell ref="CV154:DB155"/>
    <mergeCell ref="CU151:DF152"/>
    <mergeCell ref="CX139:DB140"/>
    <mergeCell ref="DC148:DE149"/>
    <mergeCell ref="BY142:DD143"/>
    <mergeCell ref="DI161:DI162"/>
    <mergeCell ref="DA160:DC161"/>
    <mergeCell ref="DD160:DF161"/>
    <mergeCell ref="CL148:CO149"/>
    <mergeCell ref="CH148:CK149"/>
    <mergeCell ref="CH151:CK152"/>
    <mergeCell ref="CU157:DF158"/>
    <mergeCell ref="CT160:CZ161"/>
    <mergeCell ref="DI148:DI149"/>
    <mergeCell ref="BY165:DF166"/>
    <mergeCell ref="CQ151:CT152"/>
    <mergeCell ref="DC154:DE155"/>
    <mergeCell ref="CO160:CQ161"/>
    <mergeCell ref="CU163:DF164"/>
    <mergeCell ref="BY160:CG161"/>
    <mergeCell ref="CL151:CP152"/>
    <mergeCell ref="CL160:CN161"/>
    <mergeCell ref="CH163:CK164"/>
    <mergeCell ref="DJ148:DU149"/>
    <mergeCell ref="DH170:DH171"/>
    <mergeCell ref="EA133:EC134"/>
    <mergeCell ref="DI167:DI168"/>
    <mergeCell ref="DJ139:DU140"/>
    <mergeCell ref="DV136:DX137"/>
    <mergeCell ref="DV164:DX165"/>
    <mergeCell ref="DI170:DI171"/>
    <mergeCell ref="DY148:DZ149"/>
    <mergeCell ref="DY151:DZ152"/>
    <mergeCell ref="DV167:DX168"/>
    <mergeCell ref="DJ161:DU162"/>
    <mergeCell ref="DI151:DI152"/>
    <mergeCell ref="DH167:DH168"/>
    <mergeCell ref="DJ167:DU168"/>
    <mergeCell ref="DI158:EP159"/>
    <mergeCell ref="EJ161:EN162"/>
    <mergeCell ref="DV154:DX155"/>
    <mergeCell ref="DJ151:DU152"/>
    <mergeCell ref="DI164:DI165"/>
    <mergeCell ref="DI145:DI146"/>
    <mergeCell ref="DV151:DX152"/>
    <mergeCell ref="CZ111:DC112"/>
    <mergeCell ref="DJ145:DU146"/>
    <mergeCell ref="DV139:DX140"/>
    <mergeCell ref="DJ136:DU137"/>
    <mergeCell ref="CX136:DB137"/>
    <mergeCell ref="CV121:CZ122"/>
    <mergeCell ref="BY115:DD116"/>
    <mergeCell ref="DV142:DX143"/>
    <mergeCell ref="DI139:DI140"/>
    <mergeCell ref="DY139:DZ140"/>
    <mergeCell ref="DV145:DX146"/>
    <mergeCell ref="DY136:DZ137"/>
    <mergeCell ref="EF154:EH155"/>
    <mergeCell ref="EN154:EP155"/>
    <mergeCell ref="EN136:EP137"/>
    <mergeCell ref="EA145:EC146"/>
    <mergeCell ref="DI142:DI143"/>
    <mergeCell ref="EA139:EC140"/>
    <mergeCell ref="DY133:DZ134"/>
    <mergeCell ref="DJ130:DU131"/>
    <mergeCell ref="DE89:DF90"/>
    <mergeCell ref="CQ98:CW99"/>
    <mergeCell ref="DI115:EN116"/>
    <mergeCell ref="DI98:DQ99"/>
    <mergeCell ref="DU98:EA99"/>
    <mergeCell ref="EJ98:EM99"/>
    <mergeCell ref="BY127:DD128"/>
    <mergeCell ref="CU118:CX119"/>
    <mergeCell ref="DI92:DX93"/>
    <mergeCell ref="CZ118:DC119"/>
    <mergeCell ref="DJ133:DU134"/>
    <mergeCell ref="DI133:DI134"/>
    <mergeCell ref="U30:X31"/>
    <mergeCell ref="AV33:AY34"/>
    <mergeCell ref="CY73:CY74"/>
    <mergeCell ref="CQ73:CT74"/>
    <mergeCell ref="CY70:CY71"/>
    <mergeCell ref="DD124:DF125"/>
    <mergeCell ref="CU36:CX37"/>
    <mergeCell ref="CQ54:CT55"/>
    <mergeCell ref="BY51:CP52"/>
    <mergeCell ref="BY30:CP31"/>
    <mergeCell ref="BY67:CP68"/>
    <mergeCell ref="CQ67:CT68"/>
    <mergeCell ref="CQ36:CT37"/>
    <mergeCell ref="BY64:CP65"/>
    <mergeCell ref="BY61:DD62"/>
    <mergeCell ref="CZ64:DC65"/>
    <mergeCell ref="BM55:BP56"/>
    <mergeCell ref="BH52:BK53"/>
    <mergeCell ref="BU43:BV44"/>
    <mergeCell ref="BW55:BW56"/>
    <mergeCell ref="BB30:BB31"/>
    <mergeCell ref="AH33:AJ34"/>
    <mergeCell ref="BC30:BF31"/>
    <mergeCell ref="AM33:AU34"/>
    <mergeCell ref="AK33:AL34"/>
    <mergeCell ref="BP33:BR34"/>
    <mergeCell ref="BY42:CP43"/>
    <mergeCell ref="BD55:BF56"/>
    <mergeCell ref="BH49:BV50"/>
    <mergeCell ref="BY57:CP58"/>
    <mergeCell ref="AZ55:BB56"/>
    <mergeCell ref="BH55:BK56"/>
    <mergeCell ref="BD58:BF59"/>
    <mergeCell ref="AZ58:BB59"/>
    <mergeCell ref="BM58:BP59"/>
    <mergeCell ref="BY54:CP55"/>
    <mergeCell ref="CQ51:CT52"/>
    <mergeCell ref="BR55:BU56"/>
    <mergeCell ref="CQ57:CT58"/>
    <mergeCell ref="BW58:BW59"/>
    <mergeCell ref="DE61:DF62"/>
    <mergeCell ref="DD67:DF68"/>
    <mergeCell ref="CY67:CY68"/>
    <mergeCell ref="CU57:CX58"/>
    <mergeCell ref="BW61:BW62"/>
    <mergeCell ref="CY57:CY58"/>
    <mergeCell ref="DD64:DF65"/>
    <mergeCell ref="DD51:DF52"/>
    <mergeCell ref="AY58:AY59"/>
    <mergeCell ref="BR52:BU53"/>
    <mergeCell ref="BR58:BU59"/>
    <mergeCell ref="CZ67:DC68"/>
    <mergeCell ref="BC55:BC56"/>
    <mergeCell ref="AY55:AY56"/>
    <mergeCell ref="CY51:CY52"/>
    <mergeCell ref="BG67:BG68"/>
    <mergeCell ref="BD52:BF53"/>
    <mergeCell ref="AM49:BF50"/>
    <mergeCell ref="AF36:AG37"/>
    <mergeCell ref="AZ52:BB53"/>
    <mergeCell ref="U36:AB37"/>
    <mergeCell ref="AM39:AU40"/>
    <mergeCell ref="B43:BT44"/>
    <mergeCell ref="W51:AB54"/>
    <mergeCell ref="AC52:AG53"/>
    <mergeCell ref="BH36:BK37"/>
    <mergeCell ref="C55:L56"/>
    <mergeCell ref="BB27:BB28"/>
    <mergeCell ref="AZ30:BA31"/>
    <mergeCell ref="AM30:AU31"/>
    <mergeCell ref="P36:S37"/>
    <mergeCell ref="AV30:AY31"/>
    <mergeCell ref="P52:R53"/>
    <mergeCell ref="AH52:AK53"/>
    <mergeCell ref="AW55:AX56"/>
    <mergeCell ref="AM52:AW53"/>
    <mergeCell ref="P58:R59"/>
    <mergeCell ref="AH55:AK56"/>
    <mergeCell ref="B22:AK23"/>
    <mergeCell ref="C49:AK50"/>
    <mergeCell ref="T52:V53"/>
    <mergeCell ref="C52:N53"/>
    <mergeCell ref="P55:R56"/>
    <mergeCell ref="U33:Z34"/>
    <mergeCell ref="C58:L59"/>
    <mergeCell ref="B24:AI25"/>
    <mergeCell ref="AY61:AY62"/>
    <mergeCell ref="AL61:AL62"/>
    <mergeCell ref="AH61:AK62"/>
    <mergeCell ref="AL58:AL59"/>
    <mergeCell ref="AC61:AF62"/>
    <mergeCell ref="AL64:AL65"/>
    <mergeCell ref="AH64:AK65"/>
    <mergeCell ref="AY64:AY65"/>
    <mergeCell ref="BG136:BI137"/>
    <mergeCell ref="FV153:FZ154"/>
    <mergeCell ref="DE115:DF116"/>
    <mergeCell ref="DC133:DE134"/>
    <mergeCell ref="AG133:AJ134"/>
    <mergeCell ref="FV150:FZ151"/>
    <mergeCell ref="ES147:EW148"/>
    <mergeCell ref="ES126:EW127"/>
    <mergeCell ref="ES120:EW121"/>
    <mergeCell ref="EY153:FT154"/>
    <mergeCell ref="FV156:FZ157"/>
    <mergeCell ref="AC122:AF123"/>
    <mergeCell ref="AG130:AJ131"/>
    <mergeCell ref="AH122:AK123"/>
    <mergeCell ref="AZ122:BF123"/>
    <mergeCell ref="AM127:BT128"/>
    <mergeCell ref="AJ127:AK128"/>
    <mergeCell ref="DY145:DZ146"/>
    <mergeCell ref="B124:BV126"/>
    <mergeCell ref="P122:V123"/>
    <mergeCell ref="C122:E123"/>
    <mergeCell ref="BY133:CP134"/>
    <mergeCell ref="DA121:DE122"/>
    <mergeCell ref="EY84:FT85"/>
    <mergeCell ref="FV159:FZ160"/>
    <mergeCell ref="FV144:FZ145"/>
    <mergeCell ref="EY147:FT148"/>
    <mergeCell ref="FV147:FZ148"/>
    <mergeCell ref="ES150:EW151"/>
    <mergeCell ref="EY150:FT151"/>
    <mergeCell ref="ES69:EW70"/>
    <mergeCell ref="ES72:EW73"/>
    <mergeCell ref="ES81:EW82"/>
    <mergeCell ref="ES75:EW76"/>
    <mergeCell ref="EY72:FT73"/>
    <mergeCell ref="FV81:FZ82"/>
    <mergeCell ref="EY81:FT82"/>
    <mergeCell ref="EX69:EX70"/>
    <mergeCell ref="EX72:EX73"/>
    <mergeCell ref="EX75:EX76"/>
    <mergeCell ref="FV66:FZ67"/>
    <mergeCell ref="ES63:EW64"/>
    <mergeCell ref="EY54:FT55"/>
    <mergeCell ref="EY57:FT58"/>
    <mergeCell ref="FV57:FZ58"/>
    <mergeCell ref="EQ54:EQ55"/>
    <mergeCell ref="EQ57:EQ58"/>
    <mergeCell ref="ES66:EW67"/>
    <mergeCell ref="EX63:EX64"/>
    <mergeCell ref="EX66:EX67"/>
    <mergeCell ref="FV51:FZ52"/>
    <mergeCell ref="ES54:EW55"/>
    <mergeCell ref="EY42:FT43"/>
    <mergeCell ref="EY60:FT61"/>
    <mergeCell ref="EY51:FT52"/>
    <mergeCell ref="EY63:FT64"/>
    <mergeCell ref="FV45:FZ46"/>
    <mergeCell ref="FV48:FZ49"/>
    <mergeCell ref="ES48:EW49"/>
    <mergeCell ref="EX60:EX61"/>
    <mergeCell ref="ES93:EW94"/>
    <mergeCell ref="FV54:FZ55"/>
    <mergeCell ref="DI59:EP60"/>
    <mergeCell ref="EO54:EP55"/>
    <mergeCell ref="EB57:EE58"/>
    <mergeCell ref="EE67:EH68"/>
    <mergeCell ref="EK89:EM90"/>
    <mergeCell ref="ES60:EW61"/>
    <mergeCell ref="ES57:EW58"/>
    <mergeCell ref="EK54:EN55"/>
    <mergeCell ref="DI82:DZ83"/>
    <mergeCell ref="EB89:EC90"/>
    <mergeCell ref="DY89:EA90"/>
    <mergeCell ref="ED89:EI90"/>
    <mergeCell ref="ES84:EW85"/>
    <mergeCell ref="EA82:ED83"/>
    <mergeCell ref="EL82:EO83"/>
    <mergeCell ref="EN89:EO90"/>
    <mergeCell ref="EE82:EH83"/>
    <mergeCell ref="ES99:EW100"/>
    <mergeCell ref="EQ81:EQ82"/>
    <mergeCell ref="EN79:EP80"/>
    <mergeCell ref="DI86:EN87"/>
    <mergeCell ref="EO51:EP52"/>
    <mergeCell ref="EO61:EP62"/>
    <mergeCell ref="ES96:EW97"/>
    <mergeCell ref="ES90:EW91"/>
    <mergeCell ref="EJ67:EM68"/>
    <mergeCell ref="DY92:EA93"/>
    <mergeCell ref="ER19:EW21"/>
    <mergeCell ref="EY90:FT91"/>
    <mergeCell ref="ES78:EW79"/>
    <mergeCell ref="FP19:FU21"/>
    <mergeCell ref="EY30:FT31"/>
    <mergeCell ref="ES87:EW88"/>
    <mergeCell ref="EY33:FT34"/>
    <mergeCell ref="ES45:EW46"/>
    <mergeCell ref="ES30:EW31"/>
    <mergeCell ref="FD19:FI21"/>
    <mergeCell ref="ES102:EW103"/>
    <mergeCell ref="ES153:EW154"/>
    <mergeCell ref="DV161:DX162"/>
    <mergeCell ref="EA161:EC162"/>
    <mergeCell ref="EA151:EC152"/>
    <mergeCell ref="ES117:EW118"/>
    <mergeCell ref="ED133:EE134"/>
    <mergeCell ref="ES105:EW106"/>
    <mergeCell ref="EA142:EC143"/>
    <mergeCell ref="EA136:EC137"/>
    <mergeCell ref="EY156:FT157"/>
    <mergeCell ref="EY144:FT145"/>
    <mergeCell ref="EK148:EM149"/>
    <mergeCell ref="EY135:FT136"/>
    <mergeCell ref="EN145:EP146"/>
    <mergeCell ref="ES144:EW145"/>
    <mergeCell ref="EQ154:EQ155"/>
    <mergeCell ref="EQ142:EQ143"/>
    <mergeCell ref="EX156:EX157"/>
    <mergeCell ref="EX141:EX142"/>
    <mergeCell ref="EY132:FT133"/>
    <mergeCell ref="ES132:EW133"/>
    <mergeCell ref="EK133:EM134"/>
    <mergeCell ref="EI139:EJ140"/>
    <mergeCell ref="ES138:EW139"/>
    <mergeCell ref="EY138:FT139"/>
    <mergeCell ref="EI133:EJ134"/>
    <mergeCell ref="ES135:EW136"/>
    <mergeCell ref="EX138:EX139"/>
    <mergeCell ref="EN133:EP134"/>
    <mergeCell ref="EB92:ED93"/>
    <mergeCell ref="EN67:EP68"/>
    <mergeCell ref="EI98:EI99"/>
    <mergeCell ref="EN98:EO99"/>
    <mergeCell ref="EL104:EO105"/>
    <mergeCell ref="EI101:EI102"/>
    <mergeCell ref="EA73:ED74"/>
    <mergeCell ref="EE73:EH74"/>
    <mergeCell ref="EK92:EN93"/>
    <mergeCell ref="EB98:ED99"/>
    <mergeCell ref="BR130:BU131"/>
    <mergeCell ref="BR133:BU134"/>
    <mergeCell ref="BR136:BU137"/>
    <mergeCell ref="DV130:DX131"/>
    <mergeCell ref="DV133:DX134"/>
    <mergeCell ref="DE127:DF128"/>
    <mergeCell ref="CU136:CW137"/>
    <mergeCell ref="BY130:CP131"/>
    <mergeCell ref="DI136:DI137"/>
    <mergeCell ref="CQ136:CT137"/>
    <mergeCell ref="DR98:DT99"/>
    <mergeCell ref="EI82:EK83"/>
    <mergeCell ref="EE98:EH99"/>
    <mergeCell ref="DJ142:DU143"/>
    <mergeCell ref="EN110:EO111"/>
    <mergeCell ref="EI107:EI108"/>
    <mergeCell ref="EF142:EH143"/>
    <mergeCell ref="ED142:EE143"/>
    <mergeCell ref="EF139:EH140"/>
    <mergeCell ref="EO86:EP87"/>
    <mergeCell ref="CY39:CY40"/>
    <mergeCell ref="BC46:BF47"/>
    <mergeCell ref="DI61:EN62"/>
    <mergeCell ref="EJ64:EM65"/>
    <mergeCell ref="DN54:DR55"/>
    <mergeCell ref="BL52:BQ53"/>
    <mergeCell ref="BG55:BG56"/>
    <mergeCell ref="DD57:DF58"/>
    <mergeCell ref="CU54:CX55"/>
    <mergeCell ref="CY54:CY55"/>
    <mergeCell ref="BG30:BH31"/>
    <mergeCell ref="Y30:AK31"/>
    <mergeCell ref="BI30:BU31"/>
    <mergeCell ref="AE33:AG34"/>
    <mergeCell ref="BS33:BU34"/>
    <mergeCell ref="BJ33:BO34"/>
    <mergeCell ref="CU30:CX31"/>
    <mergeCell ref="AJ24:AK25"/>
    <mergeCell ref="BY27:CP28"/>
    <mergeCell ref="CQ27:CT28"/>
    <mergeCell ref="BY24:DD25"/>
    <mergeCell ref="BU24:BV25"/>
    <mergeCell ref="CZ27:DC28"/>
    <mergeCell ref="BG27:BH28"/>
    <mergeCell ref="CY27:CY28"/>
    <mergeCell ref="BC27:BF28"/>
    <mergeCell ref="CH10:CN11"/>
    <mergeCell ref="CY10:DE11"/>
    <mergeCell ref="H11:BV13"/>
    <mergeCell ref="AQ4:BS6"/>
    <mergeCell ref="BZ12:DE13"/>
    <mergeCell ref="H4:AP10"/>
    <mergeCell ref="BY3:DF5"/>
    <mergeCell ref="BT4:BV6"/>
    <mergeCell ref="BZ7:CG8"/>
    <mergeCell ref="AQ7:BV9"/>
    <mergeCell ref="DI19:EP21"/>
    <mergeCell ref="DI11:EP13"/>
    <mergeCell ref="EN15:EP18"/>
    <mergeCell ref="DI24:DV25"/>
    <mergeCell ref="DI15:EM18"/>
    <mergeCell ref="CP10:CX11"/>
    <mergeCell ref="DE24:DF25"/>
    <mergeCell ref="EA67:ED68"/>
    <mergeCell ref="DI73:DZ74"/>
    <mergeCell ref="DI76:DZ77"/>
    <mergeCell ref="EN73:EP74"/>
    <mergeCell ref="EN64:EP65"/>
    <mergeCell ref="DD27:DF28"/>
    <mergeCell ref="DJ27:DM28"/>
    <mergeCell ref="DD30:DF31"/>
    <mergeCell ref="DD70:DF71"/>
    <mergeCell ref="DH57:DH58"/>
    <mergeCell ref="DI130:DI131"/>
    <mergeCell ref="EY120:FT121"/>
    <mergeCell ref="ES129:EW130"/>
    <mergeCell ref="ES114:EW115"/>
    <mergeCell ref="EY126:FT127"/>
    <mergeCell ref="FV114:FZ115"/>
    <mergeCell ref="DI127:EP128"/>
    <mergeCell ref="EI110:EI111"/>
    <mergeCell ref="ES123:EW124"/>
    <mergeCell ref="FV117:FZ118"/>
    <mergeCell ref="EO115:EP116"/>
    <mergeCell ref="DI118:EP125"/>
    <mergeCell ref="EE92:EF93"/>
    <mergeCell ref="BY108:CP109"/>
    <mergeCell ref="EF133:EH134"/>
    <mergeCell ref="EA130:EC131"/>
    <mergeCell ref="EN142:EP143"/>
    <mergeCell ref="EN139:EP140"/>
    <mergeCell ref="EB107:ED108"/>
    <mergeCell ref="EB110:ED111"/>
    <mergeCell ref="EJ110:EM111"/>
    <mergeCell ref="EE107:EH108"/>
    <mergeCell ref="CQ70:CT71"/>
    <mergeCell ref="BY70:CP71"/>
    <mergeCell ref="ES111:EW112"/>
    <mergeCell ref="EY129:FT130"/>
    <mergeCell ref="EN76:EP77"/>
    <mergeCell ref="BY176:CK177"/>
    <mergeCell ref="CL154:CN155"/>
    <mergeCell ref="EH92:EJ93"/>
    <mergeCell ref="DI110:EA111"/>
    <mergeCell ref="DI154:DI155"/>
    <mergeCell ref="EN107:EO108"/>
    <mergeCell ref="EX96:EX97"/>
    <mergeCell ref="BG73:BG74"/>
    <mergeCell ref="BG70:BG71"/>
    <mergeCell ref="CQ76:CT77"/>
    <mergeCell ref="CU76:CX77"/>
    <mergeCell ref="CY76:CY77"/>
    <mergeCell ref="DD76:DF77"/>
    <mergeCell ref="CZ70:DC71"/>
    <mergeCell ref="DD73:DF74"/>
    <mergeCell ref="EY114:FT115"/>
    <mergeCell ref="EY117:FT118"/>
    <mergeCell ref="FV99:FZ100"/>
    <mergeCell ref="EK95:EM96"/>
    <mergeCell ref="EJ107:EM108"/>
    <mergeCell ref="DI95:EJ96"/>
    <mergeCell ref="EY102:FT103"/>
    <mergeCell ref="EE104:EH105"/>
    <mergeCell ref="EB104:ED105"/>
    <mergeCell ref="EJ101:EM102"/>
    <mergeCell ref="DU101:EA102"/>
    <mergeCell ref="EE101:EH102"/>
    <mergeCell ref="EE110:EH111"/>
    <mergeCell ref="ES108:EW109"/>
    <mergeCell ref="FV93:FZ94"/>
    <mergeCell ref="FV120:FZ121"/>
    <mergeCell ref="EY96:FT97"/>
    <mergeCell ref="FV96:FZ97"/>
    <mergeCell ref="FV102:FZ103"/>
    <mergeCell ref="FV105:FZ106"/>
    <mergeCell ref="BH107:BK108"/>
    <mergeCell ref="CY98:DE99"/>
    <mergeCell ref="EY93:FT94"/>
    <mergeCell ref="EY99:FT100"/>
    <mergeCell ref="DI107:EA108"/>
    <mergeCell ref="EY105:FT106"/>
    <mergeCell ref="EN101:EO102"/>
    <mergeCell ref="EI104:EK105"/>
    <mergeCell ref="DR101:DT102"/>
    <mergeCell ref="DI101:DQ102"/>
    <mergeCell ref="AY98:AY99"/>
    <mergeCell ref="AU101:AV102"/>
    <mergeCell ref="BC101:BC102"/>
    <mergeCell ref="AW107:AX108"/>
    <mergeCell ref="AU107:AV108"/>
    <mergeCell ref="AW104:AX105"/>
    <mergeCell ref="AZ101:BB102"/>
    <mergeCell ref="T142:V143"/>
    <mergeCell ref="L133:M134"/>
    <mergeCell ref="I133:K134"/>
    <mergeCell ref="N133:Q134"/>
    <mergeCell ref="K155:L156"/>
    <mergeCell ref="B145:G146"/>
    <mergeCell ref="B142:G143"/>
    <mergeCell ref="B139:G140"/>
    <mergeCell ref="T145:V146"/>
    <mergeCell ref="U155:W156"/>
    <mergeCell ref="DG48:DH49"/>
    <mergeCell ref="FV39:FZ40"/>
    <mergeCell ref="EY36:FT37"/>
    <mergeCell ref="FV42:FZ43"/>
    <mergeCell ref="FV36:FZ37"/>
    <mergeCell ref="EY48:FT49"/>
    <mergeCell ref="EY45:FT46"/>
    <mergeCell ref="ES39:EW40"/>
    <mergeCell ref="ES42:EW43"/>
    <mergeCell ref="EX42:EX43"/>
    <mergeCell ref="ES51:EW52"/>
    <mergeCell ref="EX36:EX37"/>
    <mergeCell ref="EX39:EX40"/>
    <mergeCell ref="DN27:DQ28"/>
    <mergeCell ref="DR27:DU28"/>
    <mergeCell ref="DW24:DX25"/>
    <mergeCell ref="ES27:EW28"/>
    <mergeCell ref="ES33:EW34"/>
    <mergeCell ref="EX33:EX34"/>
    <mergeCell ref="EX45:EX46"/>
    <mergeCell ref="FV27:FZ28"/>
    <mergeCell ref="FV30:FZ31"/>
    <mergeCell ref="EY24:FT25"/>
    <mergeCell ref="FV24:GA25"/>
    <mergeCell ref="EY27:FT28"/>
    <mergeCell ref="EA24:EN25"/>
    <mergeCell ref="EO24:EP25"/>
    <mergeCell ref="ER24:EW25"/>
    <mergeCell ref="FV19:GA21"/>
    <mergeCell ref="EY78:FT79"/>
    <mergeCell ref="EY69:FT70"/>
    <mergeCell ref="FV60:FZ61"/>
    <mergeCell ref="FV63:FZ64"/>
    <mergeCell ref="EY75:FT76"/>
    <mergeCell ref="FV78:FZ79"/>
    <mergeCell ref="FJ19:FO21"/>
    <mergeCell ref="EY39:FT40"/>
    <mergeCell ref="EY66:FT67"/>
    <mergeCell ref="EX19:FC21"/>
    <mergeCell ref="FV75:FZ76"/>
    <mergeCell ref="ER3:GA14"/>
    <mergeCell ref="EY108:FT109"/>
    <mergeCell ref="FV108:FZ109"/>
    <mergeCell ref="FV69:FZ70"/>
    <mergeCell ref="FV72:FZ73"/>
    <mergeCell ref="FV84:FZ85"/>
    <mergeCell ref="EY87:FT88"/>
    <mergeCell ref="FV87:FZ88"/>
    <mergeCell ref="EY111:FT112"/>
    <mergeCell ref="FV111:FZ112"/>
    <mergeCell ref="FV132:FZ133"/>
    <mergeCell ref="BY185:DF186"/>
    <mergeCell ref="FV129:FZ130"/>
    <mergeCell ref="EY123:FT124"/>
    <mergeCell ref="CH157:CK158"/>
    <mergeCell ref="FV126:FZ127"/>
    <mergeCell ref="CY118:CY119"/>
    <mergeCell ref="FV123:FZ124"/>
    <mergeCell ref="ER22:GA23"/>
    <mergeCell ref="FV90:FZ91"/>
    <mergeCell ref="EX27:EX28"/>
    <mergeCell ref="EX30:EX31"/>
    <mergeCell ref="FV33:FZ34"/>
    <mergeCell ref="EX48:EX49"/>
    <mergeCell ref="EX51:EX52"/>
    <mergeCell ref="EX54:EX55"/>
    <mergeCell ref="EX57:EX58"/>
    <mergeCell ref="ES36:EW37"/>
    <mergeCell ref="FV135:FZ136"/>
    <mergeCell ref="EX102:EX103"/>
    <mergeCell ref="EX105:EX106"/>
    <mergeCell ref="EX108:EX109"/>
    <mergeCell ref="EX111:EX112"/>
    <mergeCell ref="DY170:DZ171"/>
    <mergeCell ref="FV138:FZ139"/>
    <mergeCell ref="ES141:EW142"/>
    <mergeCell ref="EY141:FT142"/>
    <mergeCell ref="FV141:FZ142"/>
    <mergeCell ref="EF145:EH146"/>
    <mergeCell ref="EF136:EH137"/>
    <mergeCell ref="DJ185:DU186"/>
    <mergeCell ref="ES186:EW187"/>
    <mergeCell ref="EX186:EX187"/>
    <mergeCell ref="ER136:ER137"/>
    <mergeCell ref="DY164:DZ165"/>
    <mergeCell ref="DJ170:DU171"/>
    <mergeCell ref="ED170:EE171"/>
    <mergeCell ref="EA170:EC171"/>
    <mergeCell ref="EI170:EJ171"/>
    <mergeCell ref="ED173:EE174"/>
    <mergeCell ref="EN170:EP171"/>
    <mergeCell ref="EF170:EH171"/>
    <mergeCell ref="EF173:EH174"/>
    <mergeCell ref="EA173:EC174"/>
    <mergeCell ref="ES180:EW181"/>
    <mergeCell ref="ES174:EW175"/>
    <mergeCell ref="EY174:FT175"/>
    <mergeCell ref="EN176:EP177"/>
    <mergeCell ref="EQ173:EQ174"/>
    <mergeCell ref="DV173:DX174"/>
    <mergeCell ref="EY186:FT187"/>
    <mergeCell ref="FV186:FZ187"/>
    <mergeCell ref="FV180:FZ181"/>
    <mergeCell ref="EQ179:EQ180"/>
    <mergeCell ref="CO182:CP183"/>
    <mergeCell ref="EY180:FT181"/>
    <mergeCell ref="EQ185:EQ186"/>
    <mergeCell ref="EX183:EX184"/>
    <mergeCell ref="DI179:DI180"/>
    <mergeCell ref="CZ179:DC180"/>
    <mergeCell ref="ES183:EW184"/>
    <mergeCell ref="EY183:FT184"/>
    <mergeCell ref="FV183:FZ184"/>
    <mergeCell ref="DJ176:DU177"/>
    <mergeCell ref="EA179:EC180"/>
    <mergeCell ref="DV179:DX180"/>
    <mergeCell ref="EF179:EH180"/>
    <mergeCell ref="ES177:EW178"/>
    <mergeCell ref="EY177:FT178"/>
    <mergeCell ref="DV176:DX177"/>
    <mergeCell ref="AL116:AL117"/>
    <mergeCell ref="AL101:AL102"/>
    <mergeCell ref="AC64:AF65"/>
    <mergeCell ref="AC79:AF80"/>
    <mergeCell ref="AB95:AG96"/>
    <mergeCell ref="C92:AK93"/>
    <mergeCell ref="T76:V77"/>
    <mergeCell ref="C70:L71"/>
    <mergeCell ref="M70:N71"/>
    <mergeCell ref="M76:N77"/>
    <mergeCell ref="DH67:DH68"/>
    <mergeCell ref="CU64:CX65"/>
    <mergeCell ref="AB79:AB80"/>
    <mergeCell ref="X95:AA96"/>
    <mergeCell ref="AC73:AF74"/>
    <mergeCell ref="AH73:AK74"/>
    <mergeCell ref="BW70:BW71"/>
    <mergeCell ref="BG76:BG77"/>
    <mergeCell ref="BH70:BK71"/>
    <mergeCell ref="BW73:BW74"/>
    <mergeCell ref="BY98:CP99"/>
    <mergeCell ref="CY108:CY109"/>
    <mergeCell ref="DD118:DF119"/>
    <mergeCell ref="DE142:DF143"/>
    <mergeCell ref="DC139:DE140"/>
    <mergeCell ref="CQ139:CT140"/>
    <mergeCell ref="BY136:CP137"/>
    <mergeCell ref="DC136:DE137"/>
    <mergeCell ref="CU108:CX109"/>
    <mergeCell ref="BY102:DD103"/>
    <mergeCell ref="B1:DF1"/>
    <mergeCell ref="CH15:DF18"/>
    <mergeCell ref="BY15:CC18"/>
    <mergeCell ref="CD15:CG18"/>
    <mergeCell ref="B15:BI18"/>
    <mergeCell ref="BJ15:BV18"/>
    <mergeCell ref="B3:BP3"/>
    <mergeCell ref="BQ3:BV3"/>
    <mergeCell ref="BY10:CG11"/>
    <mergeCell ref="CH7:CJ8"/>
    <mergeCell ref="DG27:DH28"/>
    <mergeCell ref="DG30:DH31"/>
    <mergeCell ref="DG33:DH34"/>
    <mergeCell ref="DG36:DH37"/>
    <mergeCell ref="DG39:DH40"/>
    <mergeCell ref="DG42:DH43"/>
    <mergeCell ref="DD39:DF40"/>
    <mergeCell ref="CZ33:DC34"/>
    <mergeCell ref="B130:S131"/>
    <mergeCell ref="DH73:DH74"/>
    <mergeCell ref="DD79:DF80"/>
    <mergeCell ref="DH64:DH65"/>
    <mergeCell ref="AY73:AY74"/>
    <mergeCell ref="DH79:DH80"/>
    <mergeCell ref="CU73:CX74"/>
    <mergeCell ref="BY73:CP74"/>
    <mergeCell ref="EX78:EX79"/>
    <mergeCell ref="EX81:EX82"/>
    <mergeCell ref="EX84:EX85"/>
    <mergeCell ref="EX87:EX88"/>
    <mergeCell ref="EX90:EX91"/>
    <mergeCell ref="EX93:EX94"/>
    <mergeCell ref="EX99:EX100"/>
    <mergeCell ref="EX114:EX115"/>
    <mergeCell ref="EX117:EX118"/>
    <mergeCell ref="EX120:EX121"/>
    <mergeCell ref="EX123:EX124"/>
    <mergeCell ref="EX126:EX127"/>
    <mergeCell ref="EX129:EX130"/>
    <mergeCell ref="DH164:DH165"/>
    <mergeCell ref="BY182:CB183"/>
    <mergeCell ref="EX132:EX133"/>
    <mergeCell ref="EX135:EX136"/>
    <mergeCell ref="EX144:EX145"/>
    <mergeCell ref="EX147:EX148"/>
    <mergeCell ref="EX150:EX151"/>
    <mergeCell ref="EX153:EX154"/>
    <mergeCell ref="EX165:EX166"/>
    <mergeCell ref="EX168:EX169"/>
    <mergeCell ref="EX171:EX172"/>
    <mergeCell ref="EX174:EX175"/>
    <mergeCell ref="EX177:EX178"/>
    <mergeCell ref="EX180:EX181"/>
    <mergeCell ref="BT46:BU47"/>
    <mergeCell ref="BR139:BU140"/>
    <mergeCell ref="ER133:ER134"/>
    <mergeCell ref="BX79:BX80"/>
    <mergeCell ref="ER157:ER158"/>
    <mergeCell ref="BG46:BS47"/>
    <mergeCell ref="AZ33:BA34"/>
    <mergeCell ref="AE46:BB47"/>
    <mergeCell ref="B46:Z47"/>
    <mergeCell ref="AA46:AD47"/>
    <mergeCell ref="AV39:BU40"/>
    <mergeCell ref="BL36:BM37"/>
    <mergeCell ref="B36:O37"/>
    <mergeCell ref="BB33:BB34"/>
    <mergeCell ref="B33:O34"/>
    <mergeCell ref="BK133:BP134"/>
    <mergeCell ref="BK136:BP137"/>
    <mergeCell ref="BK139:BP140"/>
    <mergeCell ref="BK142:BP143"/>
    <mergeCell ref="BK145:BP146"/>
    <mergeCell ref="B39:J40"/>
    <mergeCell ref="K39:AK40"/>
    <mergeCell ref="F122:H123"/>
    <mergeCell ref="AM116:AT117"/>
    <mergeCell ref="AY67:AY68"/>
    <mergeCell ref="AA136:AK137"/>
    <mergeCell ref="AB176:AI177"/>
    <mergeCell ref="DD179:DE180"/>
    <mergeCell ref="BK148:BP149"/>
    <mergeCell ref="AN130:AV131"/>
    <mergeCell ref="AN133:AV134"/>
    <mergeCell ref="AN136:AV137"/>
    <mergeCell ref="AN139:AV140"/>
    <mergeCell ref="AN142:AV143"/>
    <mergeCell ref="BK130:BP131"/>
    <mergeCell ref="AX142:AZ143"/>
    <mergeCell ref="AX145:AZ146"/>
    <mergeCell ref="CQ179:CR180"/>
    <mergeCell ref="CS179:CY180"/>
    <mergeCell ref="AM155:BU162"/>
    <mergeCell ref="BO164:BQ165"/>
    <mergeCell ref="BR164:BU165"/>
    <mergeCell ref="AM164:BN165"/>
    <mergeCell ref="CL157:CP158"/>
    <mergeCell ref="CV148:DB149"/>
    <mergeCell ref="BU167:BV168"/>
    <mergeCell ref="AN145:AV146"/>
    <mergeCell ref="AN148:AV149"/>
    <mergeCell ref="V164:AK165"/>
    <mergeCell ref="AM167:BT168"/>
    <mergeCell ref="BG145:BI146"/>
    <mergeCell ref="BB148:BE149"/>
    <mergeCell ref="AG148:AJ149"/>
    <mergeCell ref="AH155:AJ156"/>
    <mergeCell ref="AB148:AD149"/>
    <mergeCell ref="M67:N68"/>
    <mergeCell ref="D193:BV272"/>
    <mergeCell ref="D190:BT191"/>
    <mergeCell ref="AX148:AZ149"/>
    <mergeCell ref="CQ182:CS183"/>
    <mergeCell ref="BR148:BU149"/>
    <mergeCell ref="AU185:AW186"/>
    <mergeCell ref="AX185:AZ186"/>
    <mergeCell ref="CR160:CS161"/>
    <mergeCell ref="BY187:DF188"/>
    <mergeCell ref="AM64:AV65"/>
    <mergeCell ref="AM76:AV77"/>
    <mergeCell ref="M55:N56"/>
    <mergeCell ref="AM58:AV59"/>
    <mergeCell ref="M58:N59"/>
    <mergeCell ref="C61:L62"/>
    <mergeCell ref="M61:N62"/>
    <mergeCell ref="C64:L65"/>
    <mergeCell ref="M64:N65"/>
    <mergeCell ref="C67:L68"/>
    <mergeCell ref="C73:L74"/>
    <mergeCell ref="AW58:AX59"/>
    <mergeCell ref="AM61:AV62"/>
    <mergeCell ref="AW61:AX62"/>
    <mergeCell ref="AC55:AF56"/>
    <mergeCell ref="AL55:AL56"/>
    <mergeCell ref="AH58:AK59"/>
    <mergeCell ref="AC58:AF59"/>
    <mergeCell ref="AM55:AV56"/>
    <mergeCell ref="AL73:AL74"/>
    <mergeCell ref="C76:L77"/>
    <mergeCell ref="BX73:BX74"/>
    <mergeCell ref="BX76:BX77"/>
    <mergeCell ref="AX130:AZ131"/>
    <mergeCell ref="AX133:AZ134"/>
    <mergeCell ref="AW64:AX65"/>
    <mergeCell ref="AM67:AV68"/>
    <mergeCell ref="AW67:AX68"/>
    <mergeCell ref="AM70:AV71"/>
    <mergeCell ref="AW70:AX71"/>
    <mergeCell ref="ER139:ER140"/>
    <mergeCell ref="ER142:ER143"/>
    <mergeCell ref="ER145:ER146"/>
    <mergeCell ref="ER148:ER149"/>
    <mergeCell ref="ER151:ER152"/>
    <mergeCell ref="M73:N74"/>
    <mergeCell ref="AM73:AV74"/>
    <mergeCell ref="AW73:AX74"/>
    <mergeCell ref="AX136:AZ137"/>
    <mergeCell ref="AX139:AZ140"/>
    <mergeCell ref="ER154:ER155"/>
    <mergeCell ref="EB101:ED102"/>
    <mergeCell ref="DI104:EA105"/>
    <mergeCell ref="BX55:BX56"/>
    <mergeCell ref="BX58:BX59"/>
    <mergeCell ref="BX61:BX62"/>
    <mergeCell ref="BX64:BX65"/>
    <mergeCell ref="BX67:BX68"/>
    <mergeCell ref="BX70:BX71"/>
    <mergeCell ref="CQ94:CW94"/>
  </mergeCells>
  <hyperlinks>
    <hyperlink ref="CD15:CG18" r:id="rId1" display="here"/>
    <hyperlink ref="BT4:BV6" r:id="rId2" display="?"/>
  </hyperlinks>
  <printOptions/>
  <pageMargins left="0.7" right="0.7" top="0.75" bottom="0.75" header="0.3" footer="0.3"/>
  <pageSetup horizontalDpi="600" verticalDpi="600" orientation="portrait" paperSize="9"/>
  <drawing r:id="rId3"/>
</worksheet>
</file>

<file path=xl/worksheets/sheet2.xml><?xml version="1.0" encoding="utf-8"?>
<worksheet xmlns="http://schemas.openxmlformats.org/spreadsheetml/2006/main" xmlns:r="http://schemas.openxmlformats.org/officeDocument/2006/relationships">
  <dimension ref="B2:BS173"/>
  <sheetViews>
    <sheetView zoomScale="90" zoomScaleNormal="90" workbookViewId="0" topLeftCell="C100">
      <selection activeCell="AT157" sqref="AT157:AX158"/>
    </sheetView>
  </sheetViews>
  <sheetFormatPr defaultColWidth="9.140625" defaultRowHeight="15"/>
  <cols>
    <col min="1" max="85" width="1.7109375" style="5" customWidth="1"/>
    <col min="86" max="16384" width="9.140625" style="5" customWidth="1"/>
  </cols>
  <sheetData>
    <row r="1" ht="7.5" customHeight="1"/>
    <row r="2" spans="2:71" ht="7.5" customHeight="1">
      <c r="B2" s="342" t="s">
        <v>302</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41"/>
    </row>
    <row r="3" spans="2:71" ht="7.5" customHeight="1">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41"/>
    </row>
    <row r="4" spans="2:71" ht="7.5" customHeight="1">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41"/>
    </row>
    <row r="5" spans="2:71" ht="7.5" customHeight="1">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41"/>
    </row>
    <row r="6" spans="2:71" ht="7.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row>
    <row r="7" spans="2:71" ht="7.5" customHeight="1">
      <c r="B7" s="341" t="s">
        <v>295</v>
      </c>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40"/>
      <c r="AK7" s="341" t="s">
        <v>297</v>
      </c>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40"/>
    </row>
    <row r="8" spans="2:71" ht="7.5" customHeigh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40"/>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40"/>
    </row>
    <row r="9" spans="2:71" ht="7.5" customHeight="1">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40"/>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40"/>
    </row>
    <row r="10" ht="7.5" customHeight="1"/>
    <row r="11" spans="2:70" ht="7.5" customHeight="1">
      <c r="B11" s="319" t="s">
        <v>289</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K11" s="319" t="s">
        <v>288</v>
      </c>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row>
    <row r="12" spans="2:70" ht="7.5" customHeight="1">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row>
    <row r="13" spans="2:70" ht="7.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2:70" ht="7.5" customHeight="1">
      <c r="B14" s="16"/>
      <c r="C14" s="328">
        <v>5</v>
      </c>
      <c r="D14" s="328"/>
      <c r="E14" s="328"/>
      <c r="F14" s="328"/>
      <c r="G14" s="328"/>
      <c r="H14" s="308" t="s">
        <v>77</v>
      </c>
      <c r="I14" s="308"/>
      <c r="J14" s="308"/>
      <c r="K14" s="308"/>
      <c r="L14" s="208">
        <f>IF(ISNUMBER(C14),C14*1000,"")</f>
        <v>5000</v>
      </c>
      <c r="M14" s="208"/>
      <c r="N14" s="208"/>
      <c r="O14" s="208"/>
      <c r="P14" s="309" t="s">
        <v>56</v>
      </c>
      <c r="Q14" s="309"/>
      <c r="R14" s="36"/>
      <c r="S14" s="36"/>
      <c r="T14" s="323">
        <v>1000</v>
      </c>
      <c r="U14" s="323"/>
      <c r="V14" s="323"/>
      <c r="W14" s="323"/>
      <c r="X14" s="323"/>
      <c r="Y14" s="308" t="s">
        <v>79</v>
      </c>
      <c r="Z14" s="308"/>
      <c r="AA14" s="308"/>
      <c r="AB14" s="308"/>
      <c r="AC14" s="318">
        <f>IF(ISNUMBER(T14),T14/1000,"")</f>
        <v>1</v>
      </c>
      <c r="AD14" s="318"/>
      <c r="AE14" s="318"/>
      <c r="AF14" s="318"/>
      <c r="AG14" s="309" t="s">
        <v>76</v>
      </c>
      <c r="AH14" s="309"/>
      <c r="AI14" s="36"/>
      <c r="AK14" s="16"/>
      <c r="AL14" s="321">
        <v>40</v>
      </c>
      <c r="AM14" s="321"/>
      <c r="AN14" s="321"/>
      <c r="AO14" s="321"/>
      <c r="AP14" s="308" t="s">
        <v>74</v>
      </c>
      <c r="AQ14" s="308"/>
      <c r="AR14" s="308"/>
      <c r="AS14" s="308"/>
      <c r="AT14" s="324">
        <f>IF(ISNUMBER(AL14),AL14*0.3937007874016,"")</f>
        <v>15.748031496064002</v>
      </c>
      <c r="AU14" s="324"/>
      <c r="AV14" s="324"/>
      <c r="AW14" s="324"/>
      <c r="AX14" s="309" t="s">
        <v>25</v>
      </c>
      <c r="AY14" s="309"/>
      <c r="AZ14" s="36"/>
      <c r="BA14" s="36"/>
      <c r="BB14" s="36"/>
      <c r="BC14" s="16"/>
      <c r="BD14" s="321">
        <v>1</v>
      </c>
      <c r="BE14" s="321"/>
      <c r="BF14" s="321"/>
      <c r="BG14" s="321"/>
      <c r="BH14" s="308" t="s">
        <v>50</v>
      </c>
      <c r="BI14" s="308"/>
      <c r="BJ14" s="308"/>
      <c r="BK14" s="308"/>
      <c r="BL14" s="324">
        <f>IF(ISNUMBER(BD14),BD14/0.3937007874016,"")</f>
        <v>2.539999999999837</v>
      </c>
      <c r="BM14" s="324"/>
      <c r="BN14" s="324"/>
      <c r="BO14" s="324"/>
      <c r="BP14" s="309" t="s">
        <v>0</v>
      </c>
      <c r="BQ14" s="309"/>
      <c r="BR14" s="36"/>
    </row>
    <row r="15" spans="2:70" ht="7.5" customHeight="1">
      <c r="B15" s="16"/>
      <c r="C15" s="328"/>
      <c r="D15" s="328"/>
      <c r="E15" s="328"/>
      <c r="F15" s="328"/>
      <c r="G15" s="328"/>
      <c r="H15" s="308"/>
      <c r="I15" s="308"/>
      <c r="J15" s="308"/>
      <c r="K15" s="308"/>
      <c r="L15" s="208"/>
      <c r="M15" s="208"/>
      <c r="N15" s="208"/>
      <c r="O15" s="208"/>
      <c r="P15" s="309"/>
      <c r="Q15" s="309"/>
      <c r="R15" s="36"/>
      <c r="S15" s="36"/>
      <c r="T15" s="323"/>
      <c r="U15" s="323"/>
      <c r="V15" s="323"/>
      <c r="W15" s="323"/>
      <c r="X15" s="323"/>
      <c r="Y15" s="308"/>
      <c r="Z15" s="308"/>
      <c r="AA15" s="308"/>
      <c r="AB15" s="308"/>
      <c r="AC15" s="318"/>
      <c r="AD15" s="318"/>
      <c r="AE15" s="318"/>
      <c r="AF15" s="318"/>
      <c r="AG15" s="309"/>
      <c r="AH15" s="309"/>
      <c r="AI15" s="36"/>
      <c r="AK15" s="16"/>
      <c r="AL15" s="321"/>
      <c r="AM15" s="321"/>
      <c r="AN15" s="321"/>
      <c r="AO15" s="321"/>
      <c r="AP15" s="308"/>
      <c r="AQ15" s="308"/>
      <c r="AR15" s="308"/>
      <c r="AS15" s="308"/>
      <c r="AT15" s="324"/>
      <c r="AU15" s="324"/>
      <c r="AV15" s="324"/>
      <c r="AW15" s="324"/>
      <c r="AX15" s="309"/>
      <c r="AY15" s="309"/>
      <c r="AZ15" s="36"/>
      <c r="BA15" s="36"/>
      <c r="BB15" s="36"/>
      <c r="BC15" s="16"/>
      <c r="BD15" s="321"/>
      <c r="BE15" s="321"/>
      <c r="BF15" s="321"/>
      <c r="BG15" s="321"/>
      <c r="BH15" s="308"/>
      <c r="BI15" s="308"/>
      <c r="BJ15" s="308"/>
      <c r="BK15" s="308"/>
      <c r="BL15" s="324"/>
      <c r="BM15" s="324"/>
      <c r="BN15" s="324"/>
      <c r="BO15" s="324"/>
      <c r="BP15" s="309"/>
      <c r="BQ15" s="309"/>
      <c r="BR15" s="36"/>
    </row>
    <row r="16" spans="2:70" ht="7.5" customHeight="1">
      <c r="B16" s="36"/>
      <c r="C16" s="2"/>
      <c r="D16" s="2"/>
      <c r="E16" s="2"/>
      <c r="F16" s="2"/>
      <c r="G16" s="36"/>
      <c r="H16" s="36"/>
      <c r="I16" s="36"/>
      <c r="J16" s="36"/>
      <c r="K16" s="36"/>
      <c r="L16" s="2"/>
      <c r="M16" s="2"/>
      <c r="N16" s="2"/>
      <c r="O16" s="2"/>
      <c r="P16" s="36"/>
      <c r="Q16" s="36"/>
      <c r="R16" s="36"/>
      <c r="S16" s="36"/>
      <c r="T16" s="36"/>
      <c r="U16" s="36"/>
      <c r="V16" s="36"/>
      <c r="W16" s="36"/>
      <c r="X16" s="36"/>
      <c r="Y16" s="36"/>
      <c r="Z16" s="36"/>
      <c r="AA16" s="36"/>
      <c r="AB16" s="36"/>
      <c r="AC16" s="36"/>
      <c r="AD16" s="36"/>
      <c r="AE16" s="36"/>
      <c r="AF16" s="36"/>
      <c r="AG16" s="36"/>
      <c r="AH16" s="36"/>
      <c r="AI16" s="36"/>
      <c r="AK16" s="36"/>
      <c r="AL16" s="36"/>
      <c r="AM16" s="36"/>
      <c r="AN16" s="36"/>
      <c r="AO16" s="36"/>
      <c r="AP16" s="36"/>
      <c r="AQ16" s="36"/>
      <c r="AR16" s="36"/>
      <c r="AS16" s="36"/>
      <c r="AT16" s="2"/>
      <c r="AU16" s="2"/>
      <c r="AV16" s="2"/>
      <c r="AW16" s="2"/>
      <c r="AX16" s="36"/>
      <c r="AY16" s="36"/>
      <c r="AZ16" s="36"/>
      <c r="BA16" s="36"/>
      <c r="BB16" s="36"/>
      <c r="BC16" s="36"/>
      <c r="BD16" s="36"/>
      <c r="BE16" s="36"/>
      <c r="BF16" s="36"/>
      <c r="BG16" s="36"/>
      <c r="BH16" s="36"/>
      <c r="BI16" s="36"/>
      <c r="BJ16" s="36"/>
      <c r="BK16" s="36"/>
      <c r="BL16" s="36"/>
      <c r="BM16" s="36"/>
      <c r="BN16" s="36"/>
      <c r="BO16" s="36"/>
      <c r="BP16" s="36"/>
      <c r="BQ16" s="36"/>
      <c r="BR16" s="36"/>
    </row>
    <row r="17" spans="2:70" ht="7.5" customHeight="1">
      <c r="B17" s="16"/>
      <c r="C17" s="321">
        <v>0.002</v>
      </c>
      <c r="D17" s="321"/>
      <c r="E17" s="321"/>
      <c r="F17" s="321"/>
      <c r="G17" s="321"/>
      <c r="H17" s="308" t="s">
        <v>77</v>
      </c>
      <c r="I17" s="308"/>
      <c r="J17" s="308"/>
      <c r="K17" s="308"/>
      <c r="L17" s="318">
        <f>IF(ISNUMBER(C17),C17/0.45359237,"")</f>
        <v>0.004409245243697552</v>
      </c>
      <c r="M17" s="318"/>
      <c r="N17" s="318"/>
      <c r="O17" s="318"/>
      <c r="P17" s="309" t="s">
        <v>78</v>
      </c>
      <c r="Q17" s="309"/>
      <c r="R17" s="36"/>
      <c r="S17" s="36"/>
      <c r="T17" s="321">
        <v>5</v>
      </c>
      <c r="U17" s="321"/>
      <c r="V17" s="321"/>
      <c r="W17" s="321"/>
      <c r="X17" s="321"/>
      <c r="Y17" s="308" t="s">
        <v>58</v>
      </c>
      <c r="Z17" s="308"/>
      <c r="AA17" s="308"/>
      <c r="AB17" s="308"/>
      <c r="AC17" s="318">
        <f>IF(ISNUMBER(T17),T17*0.45359237,"")</f>
        <v>2.2679618500000003</v>
      </c>
      <c r="AD17" s="318"/>
      <c r="AE17" s="318"/>
      <c r="AF17" s="318"/>
      <c r="AG17" s="309" t="s">
        <v>76</v>
      </c>
      <c r="AH17" s="309"/>
      <c r="AI17" s="36"/>
      <c r="AK17" s="16"/>
      <c r="AL17" s="322">
        <v>78</v>
      </c>
      <c r="AM17" s="322"/>
      <c r="AN17" s="322"/>
      <c r="AO17" s="322"/>
      <c r="AP17" s="308" t="s">
        <v>32</v>
      </c>
      <c r="AQ17" s="308"/>
      <c r="AR17" s="308"/>
      <c r="AS17" s="308"/>
      <c r="AT17" s="306">
        <f>IF(ISNUMBER(AL17),AL17*9/5+32,"")</f>
        <v>172.4</v>
      </c>
      <c r="AU17" s="306"/>
      <c r="AV17" s="306"/>
      <c r="AW17" s="306"/>
      <c r="AX17" s="309" t="s">
        <v>33</v>
      </c>
      <c r="AY17" s="309"/>
      <c r="AZ17" s="36"/>
      <c r="BA17" s="36"/>
      <c r="BB17" s="36"/>
      <c r="BC17" s="16"/>
      <c r="BD17" s="322">
        <v>68</v>
      </c>
      <c r="BE17" s="322"/>
      <c r="BF17" s="322"/>
      <c r="BG17" s="322"/>
      <c r="BH17" s="308" t="s">
        <v>59</v>
      </c>
      <c r="BI17" s="308"/>
      <c r="BJ17" s="308"/>
      <c r="BK17" s="308"/>
      <c r="BL17" s="306">
        <f>IF(ISNUMBER(BD17),(BD17-32)*5/9,"")</f>
        <v>20</v>
      </c>
      <c r="BM17" s="306"/>
      <c r="BN17" s="306"/>
      <c r="BO17" s="306"/>
      <c r="BP17" s="309" t="s">
        <v>57</v>
      </c>
      <c r="BQ17" s="309"/>
      <c r="BR17" s="36"/>
    </row>
    <row r="18" spans="2:70" ht="7.5" customHeight="1">
      <c r="B18" s="16"/>
      <c r="C18" s="321"/>
      <c r="D18" s="321"/>
      <c r="E18" s="321"/>
      <c r="F18" s="321"/>
      <c r="G18" s="321"/>
      <c r="H18" s="308"/>
      <c r="I18" s="308"/>
      <c r="J18" s="308"/>
      <c r="K18" s="308"/>
      <c r="L18" s="318"/>
      <c r="M18" s="318"/>
      <c r="N18" s="318"/>
      <c r="O18" s="318"/>
      <c r="P18" s="309"/>
      <c r="Q18" s="309"/>
      <c r="R18" s="36"/>
      <c r="S18" s="36"/>
      <c r="T18" s="321"/>
      <c r="U18" s="321"/>
      <c r="V18" s="321"/>
      <c r="W18" s="321"/>
      <c r="X18" s="321"/>
      <c r="Y18" s="308"/>
      <c r="Z18" s="308"/>
      <c r="AA18" s="308"/>
      <c r="AB18" s="308"/>
      <c r="AC18" s="318"/>
      <c r="AD18" s="318"/>
      <c r="AE18" s="318"/>
      <c r="AF18" s="318"/>
      <c r="AG18" s="309"/>
      <c r="AH18" s="309"/>
      <c r="AI18" s="36"/>
      <c r="AK18" s="16"/>
      <c r="AL18" s="322"/>
      <c r="AM18" s="322"/>
      <c r="AN18" s="322"/>
      <c r="AO18" s="322"/>
      <c r="AP18" s="308"/>
      <c r="AQ18" s="308"/>
      <c r="AR18" s="308"/>
      <c r="AS18" s="308"/>
      <c r="AT18" s="306"/>
      <c r="AU18" s="306"/>
      <c r="AV18" s="306"/>
      <c r="AW18" s="306"/>
      <c r="AX18" s="309"/>
      <c r="AY18" s="309"/>
      <c r="AZ18" s="36"/>
      <c r="BA18" s="36"/>
      <c r="BB18" s="36"/>
      <c r="BC18" s="16"/>
      <c r="BD18" s="322"/>
      <c r="BE18" s="322"/>
      <c r="BF18" s="322"/>
      <c r="BG18" s="322"/>
      <c r="BH18" s="308"/>
      <c r="BI18" s="308"/>
      <c r="BJ18" s="308"/>
      <c r="BK18" s="308"/>
      <c r="BL18" s="306"/>
      <c r="BM18" s="306"/>
      <c r="BN18" s="306"/>
      <c r="BO18" s="306"/>
      <c r="BP18" s="309"/>
      <c r="BQ18" s="309"/>
      <c r="BR18" s="36"/>
    </row>
    <row r="19" spans="2:70" ht="7.5" customHeight="1">
      <c r="B19" s="36"/>
      <c r="C19" s="2"/>
      <c r="D19" s="2"/>
      <c r="E19" s="2"/>
      <c r="F19" s="2"/>
      <c r="G19" s="36"/>
      <c r="H19" s="36"/>
      <c r="I19" s="36"/>
      <c r="J19" s="36"/>
      <c r="K19" s="36"/>
      <c r="L19" s="2"/>
      <c r="M19" s="2"/>
      <c r="N19" s="2"/>
      <c r="O19" s="2"/>
      <c r="P19" s="36"/>
      <c r="Q19" s="36"/>
      <c r="R19" s="36"/>
      <c r="S19" s="36"/>
      <c r="T19" s="36"/>
      <c r="U19" s="36"/>
      <c r="V19" s="36"/>
      <c r="W19" s="36"/>
      <c r="X19" s="36"/>
      <c r="Y19" s="36"/>
      <c r="Z19" s="36"/>
      <c r="AA19" s="36"/>
      <c r="AB19" s="36"/>
      <c r="AC19" s="36"/>
      <c r="AD19" s="36"/>
      <c r="AE19" s="36"/>
      <c r="AF19" s="36"/>
      <c r="AG19" s="36"/>
      <c r="AH19" s="36"/>
      <c r="AI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row>
    <row r="20" spans="2:70" ht="7.5" customHeight="1">
      <c r="B20" s="16"/>
      <c r="C20" s="321">
        <v>1</v>
      </c>
      <c r="D20" s="321"/>
      <c r="E20" s="321"/>
      <c r="F20" s="321"/>
      <c r="G20" s="321"/>
      <c r="H20" s="308" t="s">
        <v>58</v>
      </c>
      <c r="I20" s="308"/>
      <c r="J20" s="308"/>
      <c r="K20" s="308"/>
      <c r="L20" s="324">
        <f>IF(ISNUMBER(C20),C20*16,"")</f>
        <v>16</v>
      </c>
      <c r="M20" s="324"/>
      <c r="N20" s="324"/>
      <c r="O20" s="324"/>
      <c r="P20" s="309" t="s">
        <v>67</v>
      </c>
      <c r="Q20" s="309"/>
      <c r="R20" s="36"/>
      <c r="S20" s="36"/>
      <c r="T20" s="327">
        <v>4.3</v>
      </c>
      <c r="U20" s="327"/>
      <c r="V20" s="327"/>
      <c r="W20" s="327"/>
      <c r="X20" s="327"/>
      <c r="Y20" s="308" t="s">
        <v>55</v>
      </c>
      <c r="Z20" s="308"/>
      <c r="AA20" s="308"/>
      <c r="AB20" s="308"/>
      <c r="AC20" s="324">
        <f>IF(ISNUMBER(T20),T20/16,"")</f>
        <v>0.26875</v>
      </c>
      <c r="AD20" s="324"/>
      <c r="AE20" s="324"/>
      <c r="AF20" s="324"/>
      <c r="AG20" s="309" t="s">
        <v>78</v>
      </c>
      <c r="AH20" s="309"/>
      <c r="AI20" s="36"/>
      <c r="AK20" s="16"/>
      <c r="AL20" s="323">
        <v>80</v>
      </c>
      <c r="AM20" s="323"/>
      <c r="AN20" s="323"/>
      <c r="AO20" s="323"/>
      <c r="AP20" s="308" t="s">
        <v>102</v>
      </c>
      <c r="AQ20" s="308"/>
      <c r="AR20" s="308"/>
      <c r="AS20" s="308"/>
      <c r="AT20" s="324">
        <f>IF(ISNUMBER(AL20),AL20/6.89475,"")</f>
        <v>11.603031291925015</v>
      </c>
      <c r="AU20" s="324"/>
      <c r="AV20" s="324"/>
      <c r="AW20" s="324"/>
      <c r="AX20" s="309" t="s">
        <v>99</v>
      </c>
      <c r="AY20" s="309"/>
      <c r="AZ20" s="309"/>
      <c r="BA20" s="36"/>
      <c r="BB20" s="36"/>
      <c r="BC20" s="16"/>
      <c r="BD20" s="322">
        <v>12</v>
      </c>
      <c r="BE20" s="322"/>
      <c r="BF20" s="322"/>
      <c r="BG20" s="322"/>
      <c r="BH20" s="308" t="s">
        <v>103</v>
      </c>
      <c r="BI20" s="308"/>
      <c r="BJ20" s="308"/>
      <c r="BK20" s="308"/>
      <c r="BL20" s="208">
        <f>IF(ISNUMBER(BD20),BD20*6.89475,"")</f>
        <v>82.737</v>
      </c>
      <c r="BM20" s="208"/>
      <c r="BN20" s="208"/>
      <c r="BO20" s="208"/>
      <c r="BP20" s="309" t="s">
        <v>101</v>
      </c>
      <c r="BQ20" s="309"/>
      <c r="BR20" s="309"/>
    </row>
    <row r="21" spans="2:70" ht="7.5" customHeight="1">
      <c r="B21" s="16"/>
      <c r="C21" s="321"/>
      <c r="D21" s="321"/>
      <c r="E21" s="321"/>
      <c r="F21" s="321"/>
      <c r="G21" s="321"/>
      <c r="H21" s="308"/>
      <c r="I21" s="308"/>
      <c r="J21" s="308"/>
      <c r="K21" s="308"/>
      <c r="L21" s="324"/>
      <c r="M21" s="324"/>
      <c r="N21" s="324"/>
      <c r="O21" s="324"/>
      <c r="P21" s="309"/>
      <c r="Q21" s="309"/>
      <c r="R21" s="36"/>
      <c r="S21" s="36"/>
      <c r="T21" s="327"/>
      <c r="U21" s="327"/>
      <c r="V21" s="327"/>
      <c r="W21" s="327"/>
      <c r="X21" s="327"/>
      <c r="Y21" s="308"/>
      <c r="Z21" s="308"/>
      <c r="AA21" s="308"/>
      <c r="AB21" s="308"/>
      <c r="AC21" s="324"/>
      <c r="AD21" s="324"/>
      <c r="AE21" s="324"/>
      <c r="AF21" s="324"/>
      <c r="AG21" s="309"/>
      <c r="AH21" s="309"/>
      <c r="AI21" s="36"/>
      <c r="AK21" s="16"/>
      <c r="AL21" s="323"/>
      <c r="AM21" s="323"/>
      <c r="AN21" s="323"/>
      <c r="AO21" s="323"/>
      <c r="AP21" s="308"/>
      <c r="AQ21" s="308"/>
      <c r="AR21" s="308"/>
      <c r="AS21" s="308"/>
      <c r="AT21" s="324"/>
      <c r="AU21" s="324"/>
      <c r="AV21" s="324"/>
      <c r="AW21" s="324"/>
      <c r="AX21" s="309"/>
      <c r="AY21" s="309"/>
      <c r="AZ21" s="309"/>
      <c r="BA21" s="36"/>
      <c r="BB21" s="36"/>
      <c r="BC21" s="16"/>
      <c r="BD21" s="322"/>
      <c r="BE21" s="322"/>
      <c r="BF21" s="322"/>
      <c r="BG21" s="322"/>
      <c r="BH21" s="308"/>
      <c r="BI21" s="308"/>
      <c r="BJ21" s="308"/>
      <c r="BK21" s="308"/>
      <c r="BL21" s="208"/>
      <c r="BM21" s="208"/>
      <c r="BN21" s="208"/>
      <c r="BO21" s="208"/>
      <c r="BP21" s="309"/>
      <c r="BQ21" s="309"/>
      <c r="BR21" s="309"/>
    </row>
    <row r="22" spans="2:70" ht="7.5" customHeight="1">
      <c r="B22" s="36"/>
      <c r="C22" s="36"/>
      <c r="D22" s="36"/>
      <c r="E22" s="36"/>
      <c r="F22" s="36"/>
      <c r="G22" s="36"/>
      <c r="H22" s="36"/>
      <c r="I22" s="36"/>
      <c r="J22" s="36"/>
      <c r="K22" s="36"/>
      <c r="L22" s="2"/>
      <c r="M22" s="2"/>
      <c r="N22" s="2"/>
      <c r="O22" s="2"/>
      <c r="P22" s="36"/>
      <c r="Q22" s="36"/>
      <c r="R22" s="36"/>
      <c r="S22" s="36"/>
      <c r="T22" s="36"/>
      <c r="U22" s="36"/>
      <c r="V22" s="36"/>
      <c r="W22" s="36"/>
      <c r="X22" s="36"/>
      <c r="Y22" s="36"/>
      <c r="Z22" s="36"/>
      <c r="AA22" s="36"/>
      <c r="AB22" s="36"/>
      <c r="AC22" s="2"/>
      <c r="AD22" s="2"/>
      <c r="AE22" s="2"/>
      <c r="AF22" s="2"/>
      <c r="AG22" s="36"/>
      <c r="AH22" s="36"/>
      <c r="AI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row>
    <row r="23" spans="2:70" ht="7.5" customHeight="1">
      <c r="B23" s="16"/>
      <c r="C23" s="321">
        <v>105</v>
      </c>
      <c r="D23" s="321"/>
      <c r="E23" s="321"/>
      <c r="F23" s="321"/>
      <c r="G23" s="321"/>
      <c r="H23" s="308" t="s">
        <v>79</v>
      </c>
      <c r="I23" s="308"/>
      <c r="J23" s="308"/>
      <c r="K23" s="308"/>
      <c r="L23" s="324">
        <f>IF(ISNUMBER(C23),C23/28.349523125,"")</f>
        <v>3.703766004705943</v>
      </c>
      <c r="M23" s="324"/>
      <c r="N23" s="324"/>
      <c r="O23" s="324"/>
      <c r="P23" s="309" t="s">
        <v>67</v>
      </c>
      <c r="Q23" s="309"/>
      <c r="R23" s="36"/>
      <c r="S23" s="36"/>
      <c r="T23" s="326">
        <v>4.27</v>
      </c>
      <c r="U23" s="326"/>
      <c r="V23" s="326"/>
      <c r="W23" s="326"/>
      <c r="X23" s="326"/>
      <c r="Y23" s="308" t="s">
        <v>55</v>
      </c>
      <c r="Z23" s="308"/>
      <c r="AA23" s="308"/>
      <c r="AB23" s="308"/>
      <c r="AC23" s="324">
        <f>IF(ISNUMBER(T23),T23*28.349523125,"")</f>
        <v>121.05246374375</v>
      </c>
      <c r="AD23" s="324"/>
      <c r="AE23" s="324"/>
      <c r="AF23" s="324"/>
      <c r="AG23" s="309" t="s">
        <v>56</v>
      </c>
      <c r="AH23" s="309"/>
      <c r="AI23" s="36"/>
      <c r="AK23" s="16"/>
      <c r="AL23" s="311">
        <v>1.05</v>
      </c>
      <c r="AM23" s="311"/>
      <c r="AN23" s="311"/>
      <c r="AO23" s="311"/>
      <c r="AP23" s="308" t="s">
        <v>155</v>
      </c>
      <c r="AQ23" s="308"/>
      <c r="AR23" s="308"/>
      <c r="AS23" s="308"/>
      <c r="AT23" s="324">
        <f>IF(ISNUMBER(AL23),-463.37+668.72*AL23-205.35*AL23*AL23,"")</f>
        <v>12.387625000000043</v>
      </c>
      <c r="AU23" s="324"/>
      <c r="AV23" s="324"/>
      <c r="AW23" s="324"/>
      <c r="AX23" s="309" t="s">
        <v>156</v>
      </c>
      <c r="AY23" s="309"/>
      <c r="AZ23" s="309"/>
      <c r="BA23" s="36"/>
      <c r="BB23" s="36"/>
      <c r="BC23" s="16"/>
      <c r="BD23" s="321">
        <v>12</v>
      </c>
      <c r="BE23" s="321"/>
      <c r="BF23" s="321"/>
      <c r="BG23" s="321"/>
      <c r="BH23" s="308" t="s">
        <v>157</v>
      </c>
      <c r="BI23" s="308"/>
      <c r="BJ23" s="308"/>
      <c r="BK23" s="308"/>
      <c r="BL23" s="318">
        <f>IF(ISNUMBER(BD23),1+BD23/(258.6-0.879*BD23),"")</f>
        <v>1.0483769532194862</v>
      </c>
      <c r="BM23" s="318"/>
      <c r="BN23" s="318"/>
      <c r="BO23" s="318"/>
      <c r="BP23" s="309" t="s">
        <v>158</v>
      </c>
      <c r="BQ23" s="309"/>
      <c r="BR23" s="309"/>
    </row>
    <row r="24" spans="2:70" ht="7.5" customHeight="1">
      <c r="B24" s="16"/>
      <c r="C24" s="321"/>
      <c r="D24" s="321"/>
      <c r="E24" s="321"/>
      <c r="F24" s="321"/>
      <c r="G24" s="321"/>
      <c r="H24" s="308"/>
      <c r="I24" s="308"/>
      <c r="J24" s="308"/>
      <c r="K24" s="308"/>
      <c r="L24" s="324"/>
      <c r="M24" s="324"/>
      <c r="N24" s="324"/>
      <c r="O24" s="324"/>
      <c r="P24" s="309"/>
      <c r="Q24" s="309"/>
      <c r="R24" s="36"/>
      <c r="S24" s="36"/>
      <c r="T24" s="326"/>
      <c r="U24" s="326"/>
      <c r="V24" s="326"/>
      <c r="W24" s="326"/>
      <c r="X24" s="326"/>
      <c r="Y24" s="308"/>
      <c r="Z24" s="308"/>
      <c r="AA24" s="308"/>
      <c r="AB24" s="308"/>
      <c r="AC24" s="324"/>
      <c r="AD24" s="324"/>
      <c r="AE24" s="324"/>
      <c r="AF24" s="324"/>
      <c r="AG24" s="309"/>
      <c r="AH24" s="309"/>
      <c r="AI24" s="36"/>
      <c r="AK24" s="16"/>
      <c r="AL24" s="311"/>
      <c r="AM24" s="311"/>
      <c r="AN24" s="311"/>
      <c r="AO24" s="311"/>
      <c r="AP24" s="308"/>
      <c r="AQ24" s="308"/>
      <c r="AR24" s="308"/>
      <c r="AS24" s="308"/>
      <c r="AT24" s="324"/>
      <c r="AU24" s="324"/>
      <c r="AV24" s="324"/>
      <c r="AW24" s="324"/>
      <c r="AX24" s="309"/>
      <c r="AY24" s="309"/>
      <c r="AZ24" s="309"/>
      <c r="BA24" s="36"/>
      <c r="BB24" s="36"/>
      <c r="BC24" s="16"/>
      <c r="BD24" s="321"/>
      <c r="BE24" s="321"/>
      <c r="BF24" s="321"/>
      <c r="BG24" s="321"/>
      <c r="BH24" s="308"/>
      <c r="BI24" s="308"/>
      <c r="BJ24" s="308"/>
      <c r="BK24" s="308"/>
      <c r="BL24" s="318"/>
      <c r="BM24" s="318"/>
      <c r="BN24" s="318"/>
      <c r="BO24" s="318"/>
      <c r="BP24" s="309"/>
      <c r="BQ24" s="309"/>
      <c r="BR24" s="309"/>
    </row>
    <row r="25" spans="2:70" ht="7.5" customHeight="1">
      <c r="B25" s="36"/>
      <c r="C25" s="36"/>
      <c r="D25" s="36"/>
      <c r="E25" s="36"/>
      <c r="F25" s="36"/>
      <c r="G25" s="36"/>
      <c r="H25" s="36"/>
      <c r="I25" s="36"/>
      <c r="J25" s="36"/>
      <c r="K25" s="2"/>
      <c r="L25" s="2"/>
      <c r="M25" s="2"/>
      <c r="N25" s="2"/>
      <c r="O25" s="36"/>
      <c r="P25" s="36"/>
      <c r="Q25" s="36"/>
      <c r="R25" s="36"/>
      <c r="S25" s="36"/>
      <c r="T25" s="36"/>
      <c r="U25" s="36"/>
      <c r="V25" s="36"/>
      <c r="W25" s="36"/>
      <c r="X25" s="36"/>
      <c r="Y25" s="36"/>
      <c r="Z25" s="36"/>
      <c r="AA25" s="36"/>
      <c r="AB25" s="36"/>
      <c r="AC25" s="2"/>
      <c r="AD25" s="2"/>
      <c r="AE25" s="2"/>
      <c r="AF25" s="2"/>
      <c r="AG25" s="36"/>
      <c r="AH25" s="36"/>
      <c r="AI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row>
    <row r="26" ht="7.5" customHeight="1"/>
    <row r="27" spans="2:70" ht="7.5" customHeight="1">
      <c r="B27" s="319" t="s">
        <v>300</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K27" s="319" t="s">
        <v>286</v>
      </c>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row>
    <row r="28" spans="2:70" ht="7.5" customHeight="1">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row>
    <row r="29" spans="2:70" ht="7.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row>
    <row r="30" spans="2:70" ht="7.5" customHeight="1">
      <c r="B30" s="16"/>
      <c r="C30" s="311">
        <v>1</v>
      </c>
      <c r="D30" s="311"/>
      <c r="E30" s="311"/>
      <c r="F30" s="311"/>
      <c r="G30" s="308" t="s">
        <v>75</v>
      </c>
      <c r="H30" s="308"/>
      <c r="I30" s="308"/>
      <c r="J30" s="308"/>
      <c r="K30" s="208">
        <f>IF(ISNUMBER(C30),C30*1000,"")</f>
        <v>1000</v>
      </c>
      <c r="L30" s="208"/>
      <c r="M30" s="208"/>
      <c r="N30" s="208"/>
      <c r="O30" s="309" t="s">
        <v>65</v>
      </c>
      <c r="P30" s="309"/>
      <c r="Q30" s="36"/>
      <c r="R30" s="36"/>
      <c r="S30" s="36"/>
      <c r="T30" s="16"/>
      <c r="U30" s="340">
        <v>1000</v>
      </c>
      <c r="V30" s="340"/>
      <c r="W30" s="340"/>
      <c r="X30" s="340"/>
      <c r="Y30" s="308" t="s">
        <v>66</v>
      </c>
      <c r="Z30" s="308"/>
      <c r="AA30" s="308"/>
      <c r="AB30" s="308"/>
      <c r="AC30" s="318">
        <f>IF(ISNUMBER(U30),U30/1000,"")</f>
        <v>1</v>
      </c>
      <c r="AD30" s="318"/>
      <c r="AE30" s="318"/>
      <c r="AF30" s="318"/>
      <c r="AG30" s="309" t="s">
        <v>5</v>
      </c>
      <c r="AH30" s="309"/>
      <c r="AI30" s="36"/>
      <c r="AK30" s="36"/>
      <c r="AL30" s="325">
        <v>10</v>
      </c>
      <c r="AM30" s="325"/>
      <c r="AN30" s="325"/>
      <c r="AO30" s="325"/>
      <c r="AP30" s="308" t="s">
        <v>283</v>
      </c>
      <c r="AQ30" s="308"/>
      <c r="AR30" s="308"/>
      <c r="AS30" s="308"/>
      <c r="AT30" s="308"/>
      <c r="AU30" s="306">
        <f>IF(AL30&gt;0,(AL30+0.76)/1.3546,"")</f>
        <v>7.9433042964712826</v>
      </c>
      <c r="AV30" s="306"/>
      <c r="AW30" s="306"/>
      <c r="AX30" s="306"/>
      <c r="AY30" s="308" t="s">
        <v>285</v>
      </c>
      <c r="AZ30" s="308"/>
      <c r="BA30" s="308"/>
      <c r="BB30" s="308"/>
      <c r="BC30" s="308"/>
      <c r="BD30" s="308"/>
      <c r="BE30" s="308"/>
      <c r="BF30" s="308"/>
      <c r="BG30" s="306">
        <f>IF(AL30&gt;0,AL30*1.97,"")</f>
        <v>19.7</v>
      </c>
      <c r="BH30" s="306"/>
      <c r="BI30" s="306"/>
      <c r="BJ30" s="306"/>
      <c r="BK30" s="309" t="s">
        <v>284</v>
      </c>
      <c r="BL30" s="309"/>
      <c r="BM30" s="309"/>
      <c r="BN30" s="309"/>
      <c r="BO30" s="309"/>
      <c r="BP30" s="309"/>
      <c r="BQ30" s="309"/>
      <c r="BR30" s="309"/>
    </row>
    <row r="31" spans="2:70" ht="7.5" customHeight="1">
      <c r="B31" s="16"/>
      <c r="C31" s="311"/>
      <c r="D31" s="311"/>
      <c r="E31" s="311"/>
      <c r="F31" s="311"/>
      <c r="G31" s="308"/>
      <c r="H31" s="308"/>
      <c r="I31" s="308"/>
      <c r="J31" s="308"/>
      <c r="K31" s="208"/>
      <c r="L31" s="208"/>
      <c r="M31" s="208"/>
      <c r="N31" s="208"/>
      <c r="O31" s="309"/>
      <c r="P31" s="309"/>
      <c r="Q31" s="36"/>
      <c r="R31" s="36"/>
      <c r="S31" s="36"/>
      <c r="T31" s="16"/>
      <c r="U31" s="340"/>
      <c r="V31" s="340"/>
      <c r="W31" s="340"/>
      <c r="X31" s="340"/>
      <c r="Y31" s="308"/>
      <c r="Z31" s="308"/>
      <c r="AA31" s="308"/>
      <c r="AB31" s="308"/>
      <c r="AC31" s="318"/>
      <c r="AD31" s="318"/>
      <c r="AE31" s="318"/>
      <c r="AF31" s="318"/>
      <c r="AG31" s="309"/>
      <c r="AH31" s="309"/>
      <c r="AI31" s="36"/>
      <c r="AK31" s="36"/>
      <c r="AL31" s="325"/>
      <c r="AM31" s="325"/>
      <c r="AN31" s="325"/>
      <c r="AO31" s="325"/>
      <c r="AP31" s="308"/>
      <c r="AQ31" s="308"/>
      <c r="AR31" s="308"/>
      <c r="AS31" s="308"/>
      <c r="AT31" s="308"/>
      <c r="AU31" s="306"/>
      <c r="AV31" s="306"/>
      <c r="AW31" s="306"/>
      <c r="AX31" s="306"/>
      <c r="AY31" s="308"/>
      <c r="AZ31" s="308"/>
      <c r="BA31" s="308"/>
      <c r="BB31" s="308"/>
      <c r="BC31" s="308"/>
      <c r="BD31" s="308"/>
      <c r="BE31" s="308"/>
      <c r="BF31" s="308"/>
      <c r="BG31" s="306"/>
      <c r="BH31" s="306"/>
      <c r="BI31" s="306"/>
      <c r="BJ31" s="306"/>
      <c r="BK31" s="309"/>
      <c r="BL31" s="309"/>
      <c r="BM31" s="309"/>
      <c r="BN31" s="309"/>
      <c r="BO31" s="309"/>
      <c r="BP31" s="309"/>
      <c r="BQ31" s="309"/>
      <c r="BR31" s="309"/>
    </row>
    <row r="32" spans="2:70" ht="7.5" customHeight="1">
      <c r="B32" s="36"/>
      <c r="C32" s="2"/>
      <c r="D32" s="2"/>
      <c r="E32" s="2"/>
      <c r="F32" s="2"/>
      <c r="G32" s="36"/>
      <c r="H32" s="36"/>
      <c r="I32" s="36"/>
      <c r="J32" s="36"/>
      <c r="K32" s="2"/>
      <c r="L32" s="2"/>
      <c r="M32" s="2"/>
      <c r="N32" s="2"/>
      <c r="O32" s="36"/>
      <c r="P32" s="36"/>
      <c r="Q32" s="36"/>
      <c r="R32" s="36"/>
      <c r="S32" s="36"/>
      <c r="T32" s="36"/>
      <c r="U32" s="2"/>
      <c r="V32" s="2"/>
      <c r="W32" s="2"/>
      <c r="X32" s="2"/>
      <c r="Y32" s="36"/>
      <c r="Z32" s="36"/>
      <c r="AA32" s="36"/>
      <c r="AB32" s="36"/>
      <c r="AC32" s="2"/>
      <c r="AD32" s="2"/>
      <c r="AE32" s="2"/>
      <c r="AF32" s="2"/>
      <c r="AG32" s="36"/>
      <c r="AH32" s="36"/>
      <c r="AI32" s="36"/>
      <c r="AK32" s="36"/>
      <c r="AL32" s="1"/>
      <c r="AM32" s="1"/>
      <c r="AN32" s="1"/>
      <c r="AO32" s="1"/>
      <c r="AP32" s="36"/>
      <c r="AQ32" s="36"/>
      <c r="AR32" s="36"/>
      <c r="AS32" s="36"/>
      <c r="AT32" s="36"/>
      <c r="AU32" s="1"/>
      <c r="AV32" s="1"/>
      <c r="AW32" s="1"/>
      <c r="AX32" s="1"/>
      <c r="AY32" s="36"/>
      <c r="AZ32" s="36"/>
      <c r="BA32" s="36"/>
      <c r="BB32" s="36"/>
      <c r="BC32" s="36"/>
      <c r="BD32" s="36"/>
      <c r="BE32" s="36"/>
      <c r="BF32" s="36"/>
      <c r="BG32" s="1"/>
      <c r="BH32" s="1"/>
      <c r="BI32" s="1"/>
      <c r="BJ32" s="1"/>
      <c r="BK32" s="36"/>
      <c r="BL32" s="36"/>
      <c r="BM32" s="36"/>
      <c r="BN32" s="36"/>
      <c r="BO32" s="36"/>
      <c r="BP32" s="36"/>
      <c r="BQ32" s="36"/>
      <c r="BR32" s="36"/>
    </row>
    <row r="33" spans="2:70" ht="7.5" customHeight="1">
      <c r="B33" s="16"/>
      <c r="C33" s="311">
        <v>1</v>
      </c>
      <c r="D33" s="311"/>
      <c r="E33" s="311"/>
      <c r="F33" s="311"/>
      <c r="G33" s="308" t="s">
        <v>75</v>
      </c>
      <c r="H33" s="308"/>
      <c r="I33" s="308"/>
      <c r="J33" s="308"/>
      <c r="K33" s="318">
        <f>IF(ISNUMBER(C33),C33*0.2641720523582,"")</f>
        <v>0.2641720523582</v>
      </c>
      <c r="L33" s="318"/>
      <c r="M33" s="318"/>
      <c r="N33" s="318"/>
      <c r="O33" s="309" t="s">
        <v>51</v>
      </c>
      <c r="P33" s="309"/>
      <c r="Q33" s="36"/>
      <c r="R33" s="36"/>
      <c r="S33" s="36"/>
      <c r="T33" s="16"/>
      <c r="U33" s="328">
        <v>1</v>
      </c>
      <c r="V33" s="328"/>
      <c r="W33" s="328"/>
      <c r="X33" s="328"/>
      <c r="Y33" s="308" t="s">
        <v>54</v>
      </c>
      <c r="Z33" s="308"/>
      <c r="AA33" s="308"/>
      <c r="AB33" s="308"/>
      <c r="AC33" s="318">
        <f>IF(ISNUMBER(U33),U33/0.2641720523582,"")</f>
        <v>3.7854117839992605</v>
      </c>
      <c r="AD33" s="318"/>
      <c r="AE33" s="318"/>
      <c r="AF33" s="318"/>
      <c r="AG33" s="309" t="s">
        <v>5</v>
      </c>
      <c r="AH33" s="309"/>
      <c r="AI33" s="36"/>
      <c r="AK33" s="36"/>
      <c r="AL33" s="306">
        <f>IF(AU33&gt;0,AU33*1.3546-0.76,"")</f>
        <v>9.94134</v>
      </c>
      <c r="AM33" s="306"/>
      <c r="AN33" s="306"/>
      <c r="AO33" s="306"/>
      <c r="AP33" s="308" t="s">
        <v>283</v>
      </c>
      <c r="AQ33" s="308"/>
      <c r="AR33" s="308"/>
      <c r="AS33" s="308"/>
      <c r="AT33" s="308"/>
      <c r="AU33" s="325">
        <v>7.9</v>
      </c>
      <c r="AV33" s="325"/>
      <c r="AW33" s="325"/>
      <c r="AX33" s="325"/>
      <c r="AY33" s="308" t="s">
        <v>285</v>
      </c>
      <c r="AZ33" s="308"/>
      <c r="BA33" s="308"/>
      <c r="BB33" s="308"/>
      <c r="BC33" s="308"/>
      <c r="BD33" s="308"/>
      <c r="BE33" s="308"/>
      <c r="BF33" s="308"/>
      <c r="BG33" s="306">
        <f>IF(AL33&gt;0,AL33*1.97,"")</f>
        <v>19.584439800000002</v>
      </c>
      <c r="BH33" s="306"/>
      <c r="BI33" s="306"/>
      <c r="BJ33" s="306"/>
      <c r="BK33" s="309" t="s">
        <v>284</v>
      </c>
      <c r="BL33" s="309"/>
      <c r="BM33" s="309"/>
      <c r="BN33" s="309"/>
      <c r="BO33" s="309"/>
      <c r="BP33" s="309"/>
      <c r="BQ33" s="309"/>
      <c r="BR33" s="309"/>
    </row>
    <row r="34" spans="2:70" ht="7.5" customHeight="1">
      <c r="B34" s="16"/>
      <c r="C34" s="311"/>
      <c r="D34" s="311"/>
      <c r="E34" s="311"/>
      <c r="F34" s="311"/>
      <c r="G34" s="308"/>
      <c r="H34" s="308"/>
      <c r="I34" s="308"/>
      <c r="J34" s="308"/>
      <c r="K34" s="318"/>
      <c r="L34" s="318"/>
      <c r="M34" s="318"/>
      <c r="N34" s="318"/>
      <c r="O34" s="309"/>
      <c r="P34" s="309"/>
      <c r="Q34" s="36"/>
      <c r="R34" s="36"/>
      <c r="S34" s="36"/>
      <c r="T34" s="16"/>
      <c r="U34" s="328"/>
      <c r="V34" s="328"/>
      <c r="W34" s="328"/>
      <c r="X34" s="328"/>
      <c r="Y34" s="308"/>
      <c r="Z34" s="308"/>
      <c r="AA34" s="308"/>
      <c r="AB34" s="308"/>
      <c r="AC34" s="318"/>
      <c r="AD34" s="318"/>
      <c r="AE34" s="318"/>
      <c r="AF34" s="318"/>
      <c r="AG34" s="309"/>
      <c r="AH34" s="309"/>
      <c r="AI34" s="36"/>
      <c r="AK34" s="36"/>
      <c r="AL34" s="306"/>
      <c r="AM34" s="306"/>
      <c r="AN34" s="306"/>
      <c r="AO34" s="306"/>
      <c r="AP34" s="308"/>
      <c r="AQ34" s="308"/>
      <c r="AR34" s="308"/>
      <c r="AS34" s="308"/>
      <c r="AT34" s="308"/>
      <c r="AU34" s="325"/>
      <c r="AV34" s="325"/>
      <c r="AW34" s="325"/>
      <c r="AX34" s="325"/>
      <c r="AY34" s="308"/>
      <c r="AZ34" s="308"/>
      <c r="BA34" s="308"/>
      <c r="BB34" s="308"/>
      <c r="BC34" s="308"/>
      <c r="BD34" s="308"/>
      <c r="BE34" s="308"/>
      <c r="BF34" s="308"/>
      <c r="BG34" s="306"/>
      <c r="BH34" s="306"/>
      <c r="BI34" s="306"/>
      <c r="BJ34" s="306"/>
      <c r="BK34" s="309"/>
      <c r="BL34" s="309"/>
      <c r="BM34" s="309"/>
      <c r="BN34" s="309"/>
      <c r="BO34" s="309"/>
      <c r="BP34" s="309"/>
      <c r="BQ34" s="309"/>
      <c r="BR34" s="309"/>
    </row>
    <row r="35" spans="2:70" ht="7.5" customHeight="1">
      <c r="B35" s="36"/>
      <c r="C35" s="2"/>
      <c r="D35" s="2"/>
      <c r="E35" s="2"/>
      <c r="F35" s="2"/>
      <c r="G35" s="36"/>
      <c r="H35" s="36"/>
      <c r="I35" s="36"/>
      <c r="J35" s="36"/>
      <c r="K35" s="2"/>
      <c r="L35" s="2"/>
      <c r="M35" s="2"/>
      <c r="N35" s="2"/>
      <c r="O35" s="36"/>
      <c r="P35" s="36"/>
      <c r="Q35" s="36"/>
      <c r="R35" s="36"/>
      <c r="S35" s="36"/>
      <c r="T35" s="36"/>
      <c r="U35" s="2"/>
      <c r="V35" s="2"/>
      <c r="W35" s="2"/>
      <c r="X35" s="2"/>
      <c r="Y35" s="36"/>
      <c r="Z35" s="36"/>
      <c r="AA35" s="36"/>
      <c r="AB35" s="36"/>
      <c r="AC35" s="2"/>
      <c r="AD35" s="2"/>
      <c r="AE35" s="2"/>
      <c r="AF35" s="2"/>
      <c r="AG35" s="36"/>
      <c r="AH35" s="36"/>
      <c r="AI35" s="36"/>
      <c r="AK35" s="36"/>
      <c r="AL35" s="1"/>
      <c r="AM35" s="1"/>
      <c r="AN35" s="1"/>
      <c r="AO35" s="1"/>
      <c r="AP35" s="36"/>
      <c r="AQ35" s="36"/>
      <c r="AR35" s="36"/>
      <c r="AS35" s="36"/>
      <c r="AT35" s="36"/>
      <c r="AU35" s="1"/>
      <c r="AV35" s="1"/>
      <c r="AW35" s="1"/>
      <c r="AX35" s="1"/>
      <c r="AY35" s="36"/>
      <c r="AZ35" s="36"/>
      <c r="BA35" s="36"/>
      <c r="BB35" s="36"/>
      <c r="BC35" s="36"/>
      <c r="BD35" s="36"/>
      <c r="BE35" s="36"/>
      <c r="BF35" s="36"/>
      <c r="BG35" s="1"/>
      <c r="BH35" s="1"/>
      <c r="BI35" s="1"/>
      <c r="BJ35" s="1"/>
      <c r="BK35" s="36"/>
      <c r="BL35" s="36"/>
      <c r="BM35" s="36"/>
      <c r="BN35" s="36"/>
      <c r="BO35" s="36"/>
      <c r="BP35" s="36"/>
      <c r="BQ35" s="36"/>
      <c r="BR35" s="36"/>
    </row>
    <row r="36" spans="2:70" ht="7.5" customHeight="1">
      <c r="B36" s="16"/>
      <c r="C36" s="321">
        <v>1</v>
      </c>
      <c r="D36" s="321"/>
      <c r="E36" s="321"/>
      <c r="F36" s="321"/>
      <c r="G36" s="308" t="s">
        <v>75</v>
      </c>
      <c r="H36" s="308"/>
      <c r="I36" s="308"/>
      <c r="J36" s="308"/>
      <c r="K36" s="324">
        <f>IF(ISNUMBER(C36),C36*1.056688209433,"")</f>
        <v>1.056688209433</v>
      </c>
      <c r="L36" s="324"/>
      <c r="M36" s="324"/>
      <c r="N36" s="324"/>
      <c r="O36" s="309" t="s">
        <v>256</v>
      </c>
      <c r="P36" s="309"/>
      <c r="Q36" s="309"/>
      <c r="R36" s="36"/>
      <c r="S36" s="36"/>
      <c r="T36" s="36"/>
      <c r="U36" s="321">
        <v>1.321</v>
      </c>
      <c r="V36" s="321"/>
      <c r="W36" s="321"/>
      <c r="X36" s="321"/>
      <c r="Y36" s="308" t="s">
        <v>290</v>
      </c>
      <c r="Z36" s="308"/>
      <c r="AA36" s="308"/>
      <c r="AB36" s="308"/>
      <c r="AC36" s="324">
        <f>IF(ISNUMBER(U36),U36/1.056688209433,"")</f>
        <v>1.2501322416655194</v>
      </c>
      <c r="AD36" s="324"/>
      <c r="AE36" s="324"/>
      <c r="AF36" s="324"/>
      <c r="AG36" s="309" t="s">
        <v>5</v>
      </c>
      <c r="AH36" s="309"/>
      <c r="AI36" s="36"/>
      <c r="AK36" s="36"/>
      <c r="AL36" s="306">
        <f>IF(BG36&gt;0,BG36/1.97,"")</f>
        <v>10</v>
      </c>
      <c r="AM36" s="306"/>
      <c r="AN36" s="306"/>
      <c r="AO36" s="306"/>
      <c r="AP36" s="308" t="s">
        <v>283</v>
      </c>
      <c r="AQ36" s="308"/>
      <c r="AR36" s="308"/>
      <c r="AS36" s="308"/>
      <c r="AT36" s="308"/>
      <c r="AU36" s="306">
        <f>IF(AL36&gt;0,(AL36+0.76)/1.3546,"")</f>
        <v>7.9433042964712826</v>
      </c>
      <c r="AV36" s="306"/>
      <c r="AW36" s="306"/>
      <c r="AX36" s="306"/>
      <c r="AY36" s="308" t="s">
        <v>285</v>
      </c>
      <c r="AZ36" s="308"/>
      <c r="BA36" s="308"/>
      <c r="BB36" s="308"/>
      <c r="BC36" s="308"/>
      <c r="BD36" s="308"/>
      <c r="BE36" s="308"/>
      <c r="BF36" s="308"/>
      <c r="BG36" s="325">
        <v>19.7</v>
      </c>
      <c r="BH36" s="325"/>
      <c r="BI36" s="325"/>
      <c r="BJ36" s="325"/>
      <c r="BK36" s="309" t="s">
        <v>284</v>
      </c>
      <c r="BL36" s="309"/>
      <c r="BM36" s="309"/>
      <c r="BN36" s="309"/>
      <c r="BO36" s="309"/>
      <c r="BP36" s="309"/>
      <c r="BQ36" s="309"/>
      <c r="BR36" s="309"/>
    </row>
    <row r="37" spans="2:70" ht="7.5" customHeight="1">
      <c r="B37" s="16"/>
      <c r="C37" s="321"/>
      <c r="D37" s="321"/>
      <c r="E37" s="321"/>
      <c r="F37" s="321"/>
      <c r="G37" s="308"/>
      <c r="H37" s="308"/>
      <c r="I37" s="308"/>
      <c r="J37" s="308"/>
      <c r="K37" s="324"/>
      <c r="L37" s="324"/>
      <c r="M37" s="324"/>
      <c r="N37" s="324"/>
      <c r="O37" s="309"/>
      <c r="P37" s="309"/>
      <c r="Q37" s="309"/>
      <c r="R37" s="36"/>
      <c r="S37" s="36"/>
      <c r="T37" s="36"/>
      <c r="U37" s="321"/>
      <c r="V37" s="321"/>
      <c r="W37" s="321"/>
      <c r="X37" s="321"/>
      <c r="Y37" s="308"/>
      <c r="Z37" s="308"/>
      <c r="AA37" s="308"/>
      <c r="AB37" s="308"/>
      <c r="AC37" s="324"/>
      <c r="AD37" s="324"/>
      <c r="AE37" s="324"/>
      <c r="AF37" s="324"/>
      <c r="AG37" s="309"/>
      <c r="AH37" s="309"/>
      <c r="AI37" s="36"/>
      <c r="AK37" s="36"/>
      <c r="AL37" s="306"/>
      <c r="AM37" s="306"/>
      <c r="AN37" s="306"/>
      <c r="AO37" s="306"/>
      <c r="AP37" s="308"/>
      <c r="AQ37" s="308"/>
      <c r="AR37" s="308"/>
      <c r="AS37" s="308"/>
      <c r="AT37" s="308"/>
      <c r="AU37" s="306"/>
      <c r="AV37" s="306"/>
      <c r="AW37" s="306"/>
      <c r="AX37" s="306"/>
      <c r="AY37" s="308"/>
      <c r="AZ37" s="308"/>
      <c r="BA37" s="308"/>
      <c r="BB37" s="308"/>
      <c r="BC37" s="308"/>
      <c r="BD37" s="308"/>
      <c r="BE37" s="308"/>
      <c r="BF37" s="308"/>
      <c r="BG37" s="325"/>
      <c r="BH37" s="325"/>
      <c r="BI37" s="325"/>
      <c r="BJ37" s="325"/>
      <c r="BK37" s="309"/>
      <c r="BL37" s="309"/>
      <c r="BM37" s="309"/>
      <c r="BN37" s="309"/>
      <c r="BO37" s="309"/>
      <c r="BP37" s="309"/>
      <c r="BQ37" s="309"/>
      <c r="BR37" s="309"/>
    </row>
    <row r="38" spans="2:70" ht="7.5" customHeight="1">
      <c r="B38" s="36"/>
      <c r="C38" s="2"/>
      <c r="D38" s="2"/>
      <c r="E38" s="2"/>
      <c r="F38" s="2"/>
      <c r="G38" s="36"/>
      <c r="H38" s="36"/>
      <c r="I38" s="36"/>
      <c r="J38" s="36"/>
      <c r="K38" s="2"/>
      <c r="L38" s="2"/>
      <c r="M38" s="2"/>
      <c r="N38" s="2"/>
      <c r="O38" s="36"/>
      <c r="P38" s="36"/>
      <c r="Q38" s="36"/>
      <c r="R38" s="36"/>
      <c r="S38" s="36"/>
      <c r="T38" s="36"/>
      <c r="U38" s="36"/>
      <c r="V38" s="36"/>
      <c r="W38" s="36"/>
      <c r="X38" s="36"/>
      <c r="Y38" s="36"/>
      <c r="Z38" s="36"/>
      <c r="AA38" s="36"/>
      <c r="AB38" s="36"/>
      <c r="AC38" s="36"/>
      <c r="AD38" s="36"/>
      <c r="AE38" s="36"/>
      <c r="AF38" s="36"/>
      <c r="AG38" s="36"/>
      <c r="AH38" s="36"/>
      <c r="AI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row>
    <row r="39" spans="2:35" ht="7.5" customHeight="1">
      <c r="B39" s="16"/>
      <c r="C39" s="321">
        <v>1</v>
      </c>
      <c r="D39" s="321"/>
      <c r="E39" s="321"/>
      <c r="F39" s="321"/>
      <c r="G39" s="308" t="s">
        <v>75</v>
      </c>
      <c r="H39" s="308"/>
      <c r="I39" s="308"/>
      <c r="J39" s="308"/>
      <c r="K39" s="324">
        <f>IF(ISNUMBER(C39),C39*2.113376418865,"")</f>
        <v>2.113376418865</v>
      </c>
      <c r="L39" s="324"/>
      <c r="M39" s="324"/>
      <c r="N39" s="324"/>
      <c r="O39" s="309" t="s">
        <v>291</v>
      </c>
      <c r="P39" s="309"/>
      <c r="Q39" s="309"/>
      <c r="R39" s="36"/>
      <c r="S39" s="36"/>
      <c r="T39" s="36"/>
      <c r="U39" s="321">
        <v>8</v>
      </c>
      <c r="V39" s="321"/>
      <c r="W39" s="321"/>
      <c r="X39" s="321"/>
      <c r="Y39" s="308" t="s">
        <v>292</v>
      </c>
      <c r="Z39" s="308"/>
      <c r="AA39" s="308"/>
      <c r="AB39" s="308"/>
      <c r="AC39" s="324">
        <f>IF(ISNUMBER(U39),U39/2.113376418865,"")</f>
        <v>3.785411784000335</v>
      </c>
      <c r="AD39" s="324"/>
      <c r="AE39" s="324"/>
      <c r="AF39" s="324"/>
      <c r="AG39" s="309" t="s">
        <v>5</v>
      </c>
      <c r="AH39" s="309"/>
      <c r="AI39" s="36"/>
    </row>
    <row r="40" spans="2:70" ht="7.5" customHeight="1">
      <c r="B40" s="16"/>
      <c r="C40" s="321"/>
      <c r="D40" s="321"/>
      <c r="E40" s="321"/>
      <c r="F40" s="321"/>
      <c r="G40" s="308"/>
      <c r="H40" s="308"/>
      <c r="I40" s="308"/>
      <c r="J40" s="308"/>
      <c r="K40" s="324"/>
      <c r="L40" s="324"/>
      <c r="M40" s="324"/>
      <c r="N40" s="324"/>
      <c r="O40" s="309"/>
      <c r="P40" s="309"/>
      <c r="Q40" s="309"/>
      <c r="R40" s="36"/>
      <c r="S40" s="36"/>
      <c r="T40" s="36"/>
      <c r="U40" s="321"/>
      <c r="V40" s="321"/>
      <c r="W40" s="321"/>
      <c r="X40" s="321"/>
      <c r="Y40" s="308"/>
      <c r="Z40" s="308"/>
      <c r="AA40" s="308"/>
      <c r="AB40" s="308"/>
      <c r="AC40" s="324"/>
      <c r="AD40" s="324"/>
      <c r="AE40" s="324"/>
      <c r="AF40" s="324"/>
      <c r="AG40" s="309"/>
      <c r="AH40" s="309"/>
      <c r="AI40" s="36"/>
      <c r="AK40" s="319" t="s">
        <v>270</v>
      </c>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row>
    <row r="41" spans="2:70" ht="7.5" customHeight="1">
      <c r="B41" s="36"/>
      <c r="C41" s="2"/>
      <c r="D41" s="2"/>
      <c r="E41" s="2"/>
      <c r="F41" s="2"/>
      <c r="G41" s="36"/>
      <c r="H41" s="36"/>
      <c r="I41" s="36"/>
      <c r="J41" s="36"/>
      <c r="K41" s="2"/>
      <c r="L41" s="2"/>
      <c r="M41" s="2"/>
      <c r="N41" s="2"/>
      <c r="O41" s="36"/>
      <c r="P41" s="36"/>
      <c r="Q41" s="36"/>
      <c r="R41" s="36"/>
      <c r="S41" s="36"/>
      <c r="T41" s="36"/>
      <c r="U41" s="36"/>
      <c r="V41" s="36"/>
      <c r="W41" s="36"/>
      <c r="X41" s="36"/>
      <c r="Y41" s="36"/>
      <c r="Z41" s="36"/>
      <c r="AA41" s="36"/>
      <c r="AB41" s="36"/>
      <c r="AC41" s="36"/>
      <c r="AD41" s="36"/>
      <c r="AE41" s="36"/>
      <c r="AF41" s="36"/>
      <c r="AG41" s="36"/>
      <c r="AH41" s="36"/>
      <c r="AI41" s="36"/>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row>
    <row r="42" spans="2:70" ht="7.5" customHeight="1">
      <c r="B42" s="16"/>
      <c r="C42" s="323">
        <v>1000</v>
      </c>
      <c r="D42" s="323"/>
      <c r="E42" s="323"/>
      <c r="F42" s="323"/>
      <c r="G42" s="308" t="s">
        <v>66</v>
      </c>
      <c r="H42" s="308"/>
      <c r="I42" s="308"/>
      <c r="J42" s="308"/>
      <c r="K42" s="318">
        <f>IF(ISNUMBER(C42),C42*0.0002641720523582,"")</f>
        <v>0.26417205235819996</v>
      </c>
      <c r="L42" s="318"/>
      <c r="M42" s="318"/>
      <c r="N42" s="318"/>
      <c r="O42" s="309" t="s">
        <v>51</v>
      </c>
      <c r="P42" s="309"/>
      <c r="Q42" s="309"/>
      <c r="R42" s="36"/>
      <c r="S42" s="36"/>
      <c r="T42" s="36"/>
      <c r="U42" s="321">
        <v>0.25</v>
      </c>
      <c r="V42" s="321"/>
      <c r="W42" s="321"/>
      <c r="X42" s="321"/>
      <c r="Y42" s="308" t="s">
        <v>293</v>
      </c>
      <c r="Z42" s="308"/>
      <c r="AA42" s="308"/>
      <c r="AB42" s="308"/>
      <c r="AC42" s="208">
        <f>IF(ISNUMBER(U42),U42/0.0002641720523582,"")</f>
        <v>946.3529459998152</v>
      </c>
      <c r="AD42" s="208"/>
      <c r="AE42" s="208"/>
      <c r="AF42" s="208"/>
      <c r="AG42" s="309" t="s">
        <v>65</v>
      </c>
      <c r="AH42" s="309"/>
      <c r="AI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row r="43" spans="2:70" ht="7.5" customHeight="1">
      <c r="B43" s="16"/>
      <c r="C43" s="323"/>
      <c r="D43" s="323"/>
      <c r="E43" s="323"/>
      <c r="F43" s="323"/>
      <c r="G43" s="308"/>
      <c r="H43" s="308"/>
      <c r="I43" s="308"/>
      <c r="J43" s="308"/>
      <c r="K43" s="318"/>
      <c r="L43" s="318"/>
      <c r="M43" s="318"/>
      <c r="N43" s="318"/>
      <c r="O43" s="309"/>
      <c r="P43" s="309"/>
      <c r="Q43" s="309"/>
      <c r="R43" s="36"/>
      <c r="S43" s="36"/>
      <c r="T43" s="36"/>
      <c r="U43" s="321"/>
      <c r="V43" s="321"/>
      <c r="W43" s="321"/>
      <c r="X43" s="321"/>
      <c r="Y43" s="308"/>
      <c r="Z43" s="308"/>
      <c r="AA43" s="308"/>
      <c r="AB43" s="308"/>
      <c r="AC43" s="208"/>
      <c r="AD43" s="208"/>
      <c r="AE43" s="208"/>
      <c r="AF43" s="208"/>
      <c r="AG43" s="309"/>
      <c r="AH43" s="309"/>
      <c r="AI43" s="36"/>
      <c r="AK43" s="18"/>
      <c r="AL43" s="327">
        <v>100</v>
      </c>
      <c r="AM43" s="327"/>
      <c r="AN43" s="327"/>
      <c r="AO43" s="327"/>
      <c r="AP43" s="309" t="s">
        <v>267</v>
      </c>
      <c r="AQ43" s="309"/>
      <c r="AR43" s="309"/>
      <c r="AS43" s="309"/>
      <c r="AT43" s="309"/>
      <c r="AU43" s="309"/>
      <c r="AV43" s="309"/>
      <c r="AW43" s="309"/>
      <c r="AX43" s="324">
        <f>IF(ISNUMBER(AL43),AL43*1.019794,"")</f>
        <v>101.97940000000001</v>
      </c>
      <c r="AY43" s="324"/>
      <c r="AZ43" s="324"/>
      <c r="BA43" s="324"/>
      <c r="BB43" s="309" t="s">
        <v>268</v>
      </c>
      <c r="BC43" s="309"/>
      <c r="BD43" s="309"/>
      <c r="BE43" s="309"/>
      <c r="BF43" s="309"/>
      <c r="BG43" s="309"/>
      <c r="BH43" s="309"/>
      <c r="BI43" s="324">
        <f>IF(ISNUMBER(AL43),AL43/0.9614,"")</f>
        <v>104.01497815685458</v>
      </c>
      <c r="BJ43" s="324"/>
      <c r="BK43" s="324"/>
      <c r="BL43" s="324"/>
      <c r="BM43" s="309" t="s">
        <v>269</v>
      </c>
      <c r="BN43" s="309"/>
      <c r="BO43" s="309"/>
      <c r="BP43" s="309"/>
      <c r="BQ43" s="309"/>
      <c r="BR43" s="16"/>
    </row>
    <row r="44" spans="2:70" ht="7.5" customHeight="1">
      <c r="B44" s="36"/>
      <c r="C44" s="2"/>
      <c r="D44" s="2"/>
      <c r="E44" s="2"/>
      <c r="F44" s="2"/>
      <c r="G44" s="36"/>
      <c r="H44" s="36"/>
      <c r="I44" s="36"/>
      <c r="J44" s="36"/>
      <c r="K44" s="2"/>
      <c r="L44" s="2"/>
      <c r="M44" s="2"/>
      <c r="N44" s="2"/>
      <c r="O44" s="36"/>
      <c r="P44" s="36"/>
      <c r="Q44" s="36"/>
      <c r="R44" s="36"/>
      <c r="S44" s="36"/>
      <c r="T44" s="36"/>
      <c r="U44" s="36"/>
      <c r="V44" s="36"/>
      <c r="W44" s="36"/>
      <c r="X44" s="36"/>
      <c r="Y44" s="36"/>
      <c r="Z44" s="36"/>
      <c r="AA44" s="36"/>
      <c r="AB44" s="36"/>
      <c r="AC44" s="36"/>
      <c r="AD44" s="36"/>
      <c r="AE44" s="36"/>
      <c r="AF44" s="36"/>
      <c r="AG44" s="36"/>
      <c r="AH44" s="36"/>
      <c r="AI44" s="36"/>
      <c r="AK44" s="18"/>
      <c r="AL44" s="327"/>
      <c r="AM44" s="327"/>
      <c r="AN44" s="327"/>
      <c r="AO44" s="327"/>
      <c r="AP44" s="309"/>
      <c r="AQ44" s="309"/>
      <c r="AR44" s="309"/>
      <c r="AS44" s="309"/>
      <c r="AT44" s="309"/>
      <c r="AU44" s="309"/>
      <c r="AV44" s="309"/>
      <c r="AW44" s="309"/>
      <c r="AX44" s="324"/>
      <c r="AY44" s="324"/>
      <c r="AZ44" s="324"/>
      <c r="BA44" s="324"/>
      <c r="BB44" s="309"/>
      <c r="BC44" s="309"/>
      <c r="BD44" s="309"/>
      <c r="BE44" s="309"/>
      <c r="BF44" s="309"/>
      <c r="BG44" s="309"/>
      <c r="BH44" s="309"/>
      <c r="BI44" s="324"/>
      <c r="BJ44" s="324"/>
      <c r="BK44" s="324"/>
      <c r="BL44" s="324"/>
      <c r="BM44" s="309"/>
      <c r="BN44" s="309"/>
      <c r="BO44" s="309"/>
      <c r="BP44" s="309"/>
      <c r="BQ44" s="309"/>
      <c r="BR44" s="16"/>
    </row>
    <row r="45" spans="2:70" ht="7.5" customHeight="1">
      <c r="B45" s="16"/>
      <c r="C45" s="323">
        <v>1000</v>
      </c>
      <c r="D45" s="323"/>
      <c r="E45" s="323"/>
      <c r="F45" s="323"/>
      <c r="G45" s="308" t="s">
        <v>66</v>
      </c>
      <c r="H45" s="308"/>
      <c r="I45" s="308"/>
      <c r="J45" s="308"/>
      <c r="K45" s="324">
        <f>IF(ISNUMBER(C45),C45*0.001056688209433,"")</f>
        <v>1.0566882094330001</v>
      </c>
      <c r="L45" s="324"/>
      <c r="M45" s="324"/>
      <c r="N45" s="324"/>
      <c r="O45" s="309" t="s">
        <v>256</v>
      </c>
      <c r="P45" s="309"/>
      <c r="Q45" s="309"/>
      <c r="R45" s="36"/>
      <c r="S45" s="36"/>
      <c r="T45" s="36"/>
      <c r="U45" s="321">
        <v>1</v>
      </c>
      <c r="V45" s="321"/>
      <c r="W45" s="321"/>
      <c r="X45" s="321"/>
      <c r="Y45" s="308" t="s">
        <v>290</v>
      </c>
      <c r="Z45" s="308"/>
      <c r="AA45" s="308"/>
      <c r="AB45" s="308"/>
      <c r="AC45" s="208">
        <f>IF(ISNUMBER(U45),U45/0.001056688209433,"")</f>
        <v>946.352945999636</v>
      </c>
      <c r="AD45" s="208"/>
      <c r="AE45" s="208"/>
      <c r="AF45" s="208"/>
      <c r="AG45" s="309" t="s">
        <v>65</v>
      </c>
      <c r="AH45" s="309"/>
      <c r="AI45" s="36"/>
      <c r="AK45" s="36"/>
      <c r="AL45" s="2"/>
      <c r="AM45" s="2"/>
      <c r="AN45" s="2"/>
      <c r="AO45" s="2"/>
      <c r="AP45" s="36"/>
      <c r="AQ45" s="36"/>
      <c r="AR45" s="36"/>
      <c r="AS45" s="36"/>
      <c r="AT45" s="36"/>
      <c r="AU45" s="36"/>
      <c r="AV45" s="36"/>
      <c r="AW45" s="36"/>
      <c r="AX45" s="2"/>
      <c r="AY45" s="2"/>
      <c r="AZ45" s="2"/>
      <c r="BA45" s="2"/>
      <c r="BB45" s="36"/>
      <c r="BC45" s="36"/>
      <c r="BD45" s="36"/>
      <c r="BE45" s="36"/>
      <c r="BF45" s="36"/>
      <c r="BG45" s="36"/>
      <c r="BH45" s="36"/>
      <c r="BI45" s="2"/>
      <c r="BJ45" s="2"/>
      <c r="BK45" s="2"/>
      <c r="BL45" s="2"/>
      <c r="BM45" s="36"/>
      <c r="BN45" s="36"/>
      <c r="BO45" s="36"/>
      <c r="BP45" s="36"/>
      <c r="BQ45" s="36"/>
      <c r="BR45" s="36"/>
    </row>
    <row r="46" spans="2:70" ht="7.5" customHeight="1">
      <c r="B46" s="16"/>
      <c r="C46" s="323"/>
      <c r="D46" s="323"/>
      <c r="E46" s="323"/>
      <c r="F46" s="323"/>
      <c r="G46" s="308"/>
      <c r="H46" s="308"/>
      <c r="I46" s="308"/>
      <c r="J46" s="308"/>
      <c r="K46" s="324"/>
      <c r="L46" s="324"/>
      <c r="M46" s="324"/>
      <c r="N46" s="324"/>
      <c r="O46" s="309"/>
      <c r="P46" s="309"/>
      <c r="Q46" s="309"/>
      <c r="R46" s="36"/>
      <c r="S46" s="36"/>
      <c r="T46" s="36"/>
      <c r="U46" s="321"/>
      <c r="V46" s="321"/>
      <c r="W46" s="321"/>
      <c r="X46" s="321"/>
      <c r="Y46" s="308"/>
      <c r="Z46" s="308"/>
      <c r="AA46" s="308"/>
      <c r="AB46" s="308"/>
      <c r="AC46" s="208"/>
      <c r="AD46" s="208"/>
      <c r="AE46" s="208"/>
      <c r="AF46" s="208"/>
      <c r="AG46" s="309"/>
      <c r="AH46" s="309"/>
      <c r="AI46" s="36"/>
      <c r="AK46" s="18"/>
      <c r="AL46" s="324">
        <f>IF(ISNUMBER(AX46),AX46/1.019794,"")</f>
        <v>26.04447564900362</v>
      </c>
      <c r="AM46" s="324"/>
      <c r="AN46" s="324"/>
      <c r="AO46" s="324"/>
      <c r="AP46" s="309" t="s">
        <v>267</v>
      </c>
      <c r="AQ46" s="309"/>
      <c r="AR46" s="309"/>
      <c r="AS46" s="309"/>
      <c r="AT46" s="309"/>
      <c r="AU46" s="309"/>
      <c r="AV46" s="309"/>
      <c r="AW46" s="309"/>
      <c r="AX46" s="327">
        <v>26.56</v>
      </c>
      <c r="AY46" s="327"/>
      <c r="AZ46" s="327"/>
      <c r="BA46" s="327"/>
      <c r="BB46" s="309" t="s">
        <v>268</v>
      </c>
      <c r="BC46" s="309"/>
      <c r="BD46" s="309"/>
      <c r="BE46" s="309"/>
      <c r="BF46" s="309"/>
      <c r="BG46" s="309"/>
      <c r="BH46" s="309"/>
      <c r="BI46" s="324">
        <f>IF(ISNUMBER(AL46),AL46/0.9614,"")</f>
        <v>27.090155657378425</v>
      </c>
      <c r="BJ46" s="324"/>
      <c r="BK46" s="324"/>
      <c r="BL46" s="324"/>
      <c r="BM46" s="309" t="s">
        <v>269</v>
      </c>
      <c r="BN46" s="309"/>
      <c r="BO46" s="309"/>
      <c r="BP46" s="309"/>
      <c r="BQ46" s="309"/>
      <c r="BR46" s="16"/>
    </row>
    <row r="47" spans="2:70" ht="7.5" customHeight="1">
      <c r="B47" s="36"/>
      <c r="C47" s="2"/>
      <c r="D47" s="2"/>
      <c r="E47" s="2"/>
      <c r="F47" s="2"/>
      <c r="G47" s="36"/>
      <c r="H47" s="36"/>
      <c r="I47" s="36"/>
      <c r="J47" s="36"/>
      <c r="K47" s="2"/>
      <c r="L47" s="2"/>
      <c r="M47" s="2"/>
      <c r="N47" s="2"/>
      <c r="O47" s="36"/>
      <c r="P47" s="36"/>
      <c r="Q47" s="36"/>
      <c r="R47" s="36"/>
      <c r="S47" s="36"/>
      <c r="T47" s="36"/>
      <c r="U47" s="36"/>
      <c r="V47" s="36"/>
      <c r="W47" s="36"/>
      <c r="X47" s="36"/>
      <c r="Y47" s="36"/>
      <c r="Z47" s="36"/>
      <c r="AA47" s="36"/>
      <c r="AB47" s="36"/>
      <c r="AC47" s="36"/>
      <c r="AD47" s="36"/>
      <c r="AE47" s="36"/>
      <c r="AF47" s="36"/>
      <c r="AG47" s="36"/>
      <c r="AH47" s="36"/>
      <c r="AI47" s="36"/>
      <c r="AK47" s="18"/>
      <c r="AL47" s="324"/>
      <c r="AM47" s="324"/>
      <c r="AN47" s="324"/>
      <c r="AO47" s="324"/>
      <c r="AP47" s="309"/>
      <c r="AQ47" s="309"/>
      <c r="AR47" s="309"/>
      <c r="AS47" s="309"/>
      <c r="AT47" s="309"/>
      <c r="AU47" s="309"/>
      <c r="AV47" s="309"/>
      <c r="AW47" s="309"/>
      <c r="AX47" s="327"/>
      <c r="AY47" s="327"/>
      <c r="AZ47" s="327"/>
      <c r="BA47" s="327"/>
      <c r="BB47" s="309"/>
      <c r="BC47" s="309"/>
      <c r="BD47" s="309"/>
      <c r="BE47" s="309"/>
      <c r="BF47" s="309"/>
      <c r="BG47" s="309"/>
      <c r="BH47" s="309"/>
      <c r="BI47" s="324"/>
      <c r="BJ47" s="324"/>
      <c r="BK47" s="324"/>
      <c r="BL47" s="324"/>
      <c r="BM47" s="309"/>
      <c r="BN47" s="309"/>
      <c r="BO47" s="309"/>
      <c r="BP47" s="309"/>
      <c r="BQ47" s="309"/>
      <c r="BR47" s="16"/>
    </row>
    <row r="48" spans="2:70" ht="7.5" customHeight="1">
      <c r="B48" s="16"/>
      <c r="C48" s="323">
        <v>1000</v>
      </c>
      <c r="D48" s="323"/>
      <c r="E48" s="323"/>
      <c r="F48" s="323"/>
      <c r="G48" s="308" t="s">
        <v>66</v>
      </c>
      <c r="H48" s="308"/>
      <c r="I48" s="308"/>
      <c r="J48" s="308"/>
      <c r="K48" s="324">
        <f>IF(ISNUMBER(C48),C48*0.002113376418865,"")</f>
        <v>2.113376418865</v>
      </c>
      <c r="L48" s="324"/>
      <c r="M48" s="324"/>
      <c r="N48" s="324"/>
      <c r="O48" s="309" t="s">
        <v>291</v>
      </c>
      <c r="P48" s="309"/>
      <c r="Q48" s="309"/>
      <c r="R48" s="36"/>
      <c r="S48" s="36"/>
      <c r="T48" s="36"/>
      <c r="U48" s="321">
        <v>2</v>
      </c>
      <c r="V48" s="321"/>
      <c r="W48" s="321"/>
      <c r="X48" s="321"/>
      <c r="Y48" s="308" t="s">
        <v>292</v>
      </c>
      <c r="Z48" s="308"/>
      <c r="AA48" s="308"/>
      <c r="AB48" s="308"/>
      <c r="AC48" s="208">
        <f>IF(ISNUMBER(U48),U48/0.002113376418865,"")</f>
        <v>946.3529460000839</v>
      </c>
      <c r="AD48" s="208"/>
      <c r="AE48" s="208"/>
      <c r="AF48" s="208"/>
      <c r="AG48" s="309" t="s">
        <v>65</v>
      </c>
      <c r="AH48" s="309"/>
      <c r="AI48" s="36"/>
      <c r="AK48" s="36"/>
      <c r="AL48" s="2"/>
      <c r="AM48" s="2"/>
      <c r="AN48" s="2"/>
      <c r="AO48" s="2"/>
      <c r="AP48" s="36"/>
      <c r="AQ48" s="36"/>
      <c r="AR48" s="36"/>
      <c r="AS48" s="36"/>
      <c r="AT48" s="36"/>
      <c r="AU48" s="36"/>
      <c r="AV48" s="36"/>
      <c r="AW48" s="36"/>
      <c r="AX48" s="2"/>
      <c r="AY48" s="2"/>
      <c r="AZ48" s="2"/>
      <c r="BA48" s="2"/>
      <c r="BB48" s="36"/>
      <c r="BC48" s="36"/>
      <c r="BD48" s="36"/>
      <c r="BE48" s="36"/>
      <c r="BF48" s="36"/>
      <c r="BG48" s="36"/>
      <c r="BH48" s="36"/>
      <c r="BI48" s="2"/>
      <c r="BJ48" s="2"/>
      <c r="BK48" s="2"/>
      <c r="BL48" s="2"/>
      <c r="BM48" s="36"/>
      <c r="BN48" s="36"/>
      <c r="BO48" s="36"/>
      <c r="BP48" s="36"/>
      <c r="BQ48" s="36"/>
      <c r="BR48" s="36"/>
    </row>
    <row r="49" spans="2:70" ht="7.5" customHeight="1">
      <c r="B49" s="16"/>
      <c r="C49" s="323"/>
      <c r="D49" s="323"/>
      <c r="E49" s="323"/>
      <c r="F49" s="323"/>
      <c r="G49" s="308"/>
      <c r="H49" s="308"/>
      <c r="I49" s="308"/>
      <c r="J49" s="308"/>
      <c r="K49" s="324"/>
      <c r="L49" s="324"/>
      <c r="M49" s="324"/>
      <c r="N49" s="324"/>
      <c r="O49" s="309"/>
      <c r="P49" s="309"/>
      <c r="Q49" s="309"/>
      <c r="R49" s="36"/>
      <c r="S49" s="36"/>
      <c r="T49" s="36"/>
      <c r="U49" s="321"/>
      <c r="V49" s="321"/>
      <c r="W49" s="321"/>
      <c r="X49" s="321"/>
      <c r="Y49" s="308"/>
      <c r="Z49" s="308"/>
      <c r="AA49" s="308"/>
      <c r="AB49" s="308"/>
      <c r="AC49" s="208"/>
      <c r="AD49" s="208"/>
      <c r="AE49" s="208"/>
      <c r="AF49" s="208"/>
      <c r="AG49" s="309"/>
      <c r="AH49" s="309"/>
      <c r="AI49" s="36"/>
      <c r="AK49" s="18"/>
      <c r="AL49" s="324">
        <f>IF(ISNUMBER(BI49),BI49*0.9614,"")</f>
        <v>10.0004828</v>
      </c>
      <c r="AM49" s="324"/>
      <c r="AN49" s="324"/>
      <c r="AO49" s="324"/>
      <c r="AP49" s="309" t="s">
        <v>267</v>
      </c>
      <c r="AQ49" s="309"/>
      <c r="AR49" s="309"/>
      <c r="AS49" s="309"/>
      <c r="AT49" s="309"/>
      <c r="AU49" s="309"/>
      <c r="AV49" s="309"/>
      <c r="AW49" s="309"/>
      <c r="AX49" s="324">
        <f>IF(ISNUMBER(AL49),AL49*1.019794,"")</f>
        <v>10.1984323565432</v>
      </c>
      <c r="AY49" s="324"/>
      <c r="AZ49" s="324"/>
      <c r="BA49" s="324"/>
      <c r="BB49" s="309" t="s">
        <v>268</v>
      </c>
      <c r="BC49" s="309"/>
      <c r="BD49" s="309"/>
      <c r="BE49" s="309"/>
      <c r="BF49" s="309"/>
      <c r="BG49" s="309"/>
      <c r="BH49" s="309"/>
      <c r="BI49" s="327">
        <v>10.402</v>
      </c>
      <c r="BJ49" s="327"/>
      <c r="BK49" s="327"/>
      <c r="BL49" s="327"/>
      <c r="BM49" s="309" t="s">
        <v>269</v>
      </c>
      <c r="BN49" s="309"/>
      <c r="BO49" s="309"/>
      <c r="BP49" s="309"/>
      <c r="BQ49" s="309"/>
      <c r="BR49" s="16"/>
    </row>
    <row r="50" spans="2:70" ht="7.5" customHeight="1">
      <c r="B50" s="36"/>
      <c r="C50" s="2"/>
      <c r="D50" s="2"/>
      <c r="E50" s="2"/>
      <c r="F50" s="2"/>
      <c r="G50" s="36"/>
      <c r="H50" s="36"/>
      <c r="I50" s="36"/>
      <c r="J50" s="36"/>
      <c r="K50" s="2"/>
      <c r="L50" s="2"/>
      <c r="M50" s="2"/>
      <c r="N50" s="2"/>
      <c r="O50" s="36"/>
      <c r="P50" s="36"/>
      <c r="Q50" s="36"/>
      <c r="R50" s="36"/>
      <c r="S50" s="36"/>
      <c r="T50" s="36"/>
      <c r="U50" s="36"/>
      <c r="V50" s="36"/>
      <c r="W50" s="36"/>
      <c r="X50" s="36"/>
      <c r="Y50" s="36"/>
      <c r="Z50" s="36"/>
      <c r="AA50" s="36"/>
      <c r="AB50" s="36"/>
      <c r="AC50" s="36"/>
      <c r="AD50" s="36"/>
      <c r="AE50" s="36"/>
      <c r="AF50" s="36"/>
      <c r="AG50" s="36"/>
      <c r="AH50" s="36"/>
      <c r="AI50" s="36"/>
      <c r="AK50" s="18"/>
      <c r="AL50" s="324"/>
      <c r="AM50" s="324"/>
      <c r="AN50" s="324"/>
      <c r="AO50" s="324"/>
      <c r="AP50" s="309"/>
      <c r="AQ50" s="309"/>
      <c r="AR50" s="309"/>
      <c r="AS50" s="309"/>
      <c r="AT50" s="309"/>
      <c r="AU50" s="309"/>
      <c r="AV50" s="309"/>
      <c r="AW50" s="309"/>
      <c r="AX50" s="324"/>
      <c r="AY50" s="324"/>
      <c r="AZ50" s="324"/>
      <c r="BA50" s="324"/>
      <c r="BB50" s="309"/>
      <c r="BC50" s="309"/>
      <c r="BD50" s="309"/>
      <c r="BE50" s="309"/>
      <c r="BF50" s="309"/>
      <c r="BG50" s="309"/>
      <c r="BH50" s="309"/>
      <c r="BI50" s="327"/>
      <c r="BJ50" s="327"/>
      <c r="BK50" s="327"/>
      <c r="BL50" s="327"/>
      <c r="BM50" s="309"/>
      <c r="BN50" s="309"/>
      <c r="BO50" s="309"/>
      <c r="BP50" s="309"/>
      <c r="BQ50" s="309"/>
      <c r="BR50" s="16"/>
    </row>
    <row r="51" spans="2:70" ht="7.5" customHeight="1">
      <c r="B51" s="16"/>
      <c r="C51" s="323">
        <v>1000</v>
      </c>
      <c r="D51" s="323"/>
      <c r="E51" s="323"/>
      <c r="F51" s="323"/>
      <c r="G51" s="308" t="s">
        <v>66</v>
      </c>
      <c r="H51" s="308"/>
      <c r="I51" s="308"/>
      <c r="J51" s="308"/>
      <c r="K51" s="324">
        <f>IF(ISNUMBER(C51),C51*0.03381402270184,"")</f>
        <v>33.81402270184</v>
      </c>
      <c r="L51" s="324"/>
      <c r="M51" s="324"/>
      <c r="N51" s="324"/>
      <c r="O51" s="309" t="s">
        <v>185</v>
      </c>
      <c r="P51" s="309"/>
      <c r="Q51" s="309"/>
      <c r="R51" s="36"/>
      <c r="S51" s="36"/>
      <c r="T51" s="36"/>
      <c r="U51" s="321">
        <v>35</v>
      </c>
      <c r="V51" s="321"/>
      <c r="W51" s="321"/>
      <c r="X51" s="321"/>
      <c r="Y51" s="308" t="s">
        <v>184</v>
      </c>
      <c r="Z51" s="308"/>
      <c r="AA51" s="308"/>
      <c r="AB51" s="308"/>
      <c r="AC51" s="208">
        <f>IF(ISNUMBER(U51),U51/0.03381402270184,"")</f>
        <v>1035.0735346875917</v>
      </c>
      <c r="AD51" s="208"/>
      <c r="AE51" s="208"/>
      <c r="AF51" s="208"/>
      <c r="AG51" s="309" t="s">
        <v>65</v>
      </c>
      <c r="AH51" s="309"/>
      <c r="AI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row>
    <row r="52" spans="2:70" ht="7.5" customHeight="1">
      <c r="B52" s="16"/>
      <c r="C52" s="323"/>
      <c r="D52" s="323"/>
      <c r="E52" s="323"/>
      <c r="F52" s="323"/>
      <c r="G52" s="308"/>
      <c r="H52" s="308"/>
      <c r="I52" s="308"/>
      <c r="J52" s="308"/>
      <c r="K52" s="324"/>
      <c r="L52" s="324"/>
      <c r="M52" s="324"/>
      <c r="N52" s="324"/>
      <c r="O52" s="309"/>
      <c r="P52" s="309"/>
      <c r="Q52" s="309"/>
      <c r="R52" s="36"/>
      <c r="S52" s="36"/>
      <c r="T52" s="36"/>
      <c r="U52" s="321"/>
      <c r="V52" s="321"/>
      <c r="W52" s="321"/>
      <c r="X52" s="321"/>
      <c r="Y52" s="308"/>
      <c r="Z52" s="308"/>
      <c r="AA52" s="308"/>
      <c r="AB52" s="308"/>
      <c r="AC52" s="208"/>
      <c r="AD52" s="208"/>
      <c r="AE52" s="208"/>
      <c r="AF52" s="208"/>
      <c r="AG52" s="309"/>
      <c r="AH52" s="309"/>
      <c r="AI52" s="36"/>
      <c r="AK52" s="274" t="s">
        <v>271</v>
      </c>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row>
    <row r="53" spans="2:70" ht="7.5" customHeight="1">
      <c r="B53" s="36"/>
      <c r="C53" s="2"/>
      <c r="D53" s="2"/>
      <c r="E53" s="2"/>
      <c r="F53" s="2"/>
      <c r="G53" s="36"/>
      <c r="H53" s="36"/>
      <c r="I53" s="36"/>
      <c r="J53" s="36"/>
      <c r="K53" s="2"/>
      <c r="L53" s="2"/>
      <c r="M53" s="2"/>
      <c r="N53" s="2"/>
      <c r="O53" s="36"/>
      <c r="P53" s="36"/>
      <c r="Q53" s="36"/>
      <c r="R53" s="36"/>
      <c r="S53" s="36"/>
      <c r="T53" s="36"/>
      <c r="U53" s="36"/>
      <c r="V53" s="36"/>
      <c r="W53" s="36"/>
      <c r="X53" s="36"/>
      <c r="Y53" s="36"/>
      <c r="Z53" s="36"/>
      <c r="AA53" s="36"/>
      <c r="AB53" s="36"/>
      <c r="AC53" s="36"/>
      <c r="AD53" s="36"/>
      <c r="AE53" s="36"/>
      <c r="AF53" s="36"/>
      <c r="AG53" s="36"/>
      <c r="AH53" s="36"/>
      <c r="AI53" s="36"/>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row>
    <row r="54" spans="2:70" ht="7.5" customHeight="1">
      <c r="B54" s="16"/>
      <c r="C54" s="321">
        <v>1</v>
      </c>
      <c r="D54" s="321"/>
      <c r="E54" s="321"/>
      <c r="F54" s="321"/>
      <c r="G54" s="308" t="s">
        <v>54</v>
      </c>
      <c r="H54" s="308"/>
      <c r="I54" s="308"/>
      <c r="J54" s="308"/>
      <c r="K54" s="324">
        <f>IF(ISNUMBER(C54),C54*4,"")</f>
        <v>4</v>
      </c>
      <c r="L54" s="324"/>
      <c r="M54" s="324"/>
      <c r="N54" s="324"/>
      <c r="O54" s="309" t="s">
        <v>256</v>
      </c>
      <c r="P54" s="309"/>
      <c r="Q54" s="309"/>
      <c r="R54" s="36"/>
      <c r="S54" s="36"/>
      <c r="T54" s="36"/>
      <c r="U54" s="321">
        <v>4</v>
      </c>
      <c r="V54" s="321"/>
      <c r="W54" s="321"/>
      <c r="X54" s="321"/>
      <c r="Y54" s="308" t="s">
        <v>290</v>
      </c>
      <c r="Z54" s="308"/>
      <c r="AA54" s="308"/>
      <c r="AB54" s="308"/>
      <c r="AC54" s="324">
        <f>IF(ISNUMBER(U54),U54/4,"")</f>
        <v>1</v>
      </c>
      <c r="AD54" s="324"/>
      <c r="AE54" s="324"/>
      <c r="AF54" s="324"/>
      <c r="AG54" s="309" t="s">
        <v>51</v>
      </c>
      <c r="AH54" s="309"/>
      <c r="AI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row>
    <row r="55" spans="2:35" ht="7.5" customHeight="1">
      <c r="B55" s="16"/>
      <c r="C55" s="321"/>
      <c r="D55" s="321"/>
      <c r="E55" s="321"/>
      <c r="F55" s="321"/>
      <c r="G55" s="308"/>
      <c r="H55" s="308"/>
      <c r="I55" s="308"/>
      <c r="J55" s="308"/>
      <c r="K55" s="324"/>
      <c r="L55" s="324"/>
      <c r="M55" s="324"/>
      <c r="N55" s="324"/>
      <c r="O55" s="309"/>
      <c r="P55" s="309"/>
      <c r="Q55" s="309"/>
      <c r="R55" s="36"/>
      <c r="S55" s="36"/>
      <c r="T55" s="36"/>
      <c r="U55" s="321"/>
      <c r="V55" s="321"/>
      <c r="W55" s="321"/>
      <c r="X55" s="321"/>
      <c r="Y55" s="308"/>
      <c r="Z55" s="308"/>
      <c r="AA55" s="308"/>
      <c r="AB55" s="308"/>
      <c r="AC55" s="324"/>
      <c r="AD55" s="324"/>
      <c r="AE55" s="324"/>
      <c r="AF55" s="324"/>
      <c r="AG55" s="309"/>
      <c r="AH55" s="309"/>
      <c r="AI55" s="36"/>
    </row>
    <row r="56" spans="2:70" ht="7.5" customHeight="1">
      <c r="B56" s="36"/>
      <c r="C56" s="2"/>
      <c r="D56" s="2"/>
      <c r="E56" s="2"/>
      <c r="F56" s="2"/>
      <c r="G56" s="36"/>
      <c r="H56" s="36"/>
      <c r="I56" s="36"/>
      <c r="J56" s="36"/>
      <c r="K56" s="2"/>
      <c r="L56" s="2"/>
      <c r="M56" s="2"/>
      <c r="N56" s="2"/>
      <c r="O56" s="36"/>
      <c r="P56" s="36"/>
      <c r="Q56" s="36"/>
      <c r="R56" s="36"/>
      <c r="S56" s="36"/>
      <c r="T56" s="36"/>
      <c r="U56" s="36"/>
      <c r="V56" s="36"/>
      <c r="W56" s="36"/>
      <c r="X56" s="36"/>
      <c r="Y56" s="36"/>
      <c r="Z56" s="36"/>
      <c r="AA56" s="36"/>
      <c r="AB56" s="36"/>
      <c r="AC56" s="36"/>
      <c r="AD56" s="36"/>
      <c r="AE56" s="36"/>
      <c r="AF56" s="36"/>
      <c r="AG56" s="36"/>
      <c r="AH56" s="36"/>
      <c r="AI56" s="36"/>
      <c r="AK56" s="319" t="s">
        <v>287</v>
      </c>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row>
    <row r="57" spans="2:70" ht="7.5" customHeight="1">
      <c r="B57" s="16"/>
      <c r="C57" s="321">
        <v>1</v>
      </c>
      <c r="D57" s="321"/>
      <c r="E57" s="321"/>
      <c r="F57" s="321"/>
      <c r="G57" s="308" t="s">
        <v>54</v>
      </c>
      <c r="H57" s="308"/>
      <c r="I57" s="308"/>
      <c r="J57" s="308"/>
      <c r="K57" s="324">
        <f>IF(ISNUMBER(C57),C57*8,"")</f>
        <v>8</v>
      </c>
      <c r="L57" s="324"/>
      <c r="M57" s="324"/>
      <c r="N57" s="324"/>
      <c r="O57" s="309" t="s">
        <v>291</v>
      </c>
      <c r="P57" s="309"/>
      <c r="Q57" s="309"/>
      <c r="R57" s="36"/>
      <c r="S57" s="36"/>
      <c r="T57" s="36"/>
      <c r="U57" s="321">
        <v>8</v>
      </c>
      <c r="V57" s="321"/>
      <c r="W57" s="321"/>
      <c r="X57" s="321"/>
      <c r="Y57" s="308" t="s">
        <v>292</v>
      </c>
      <c r="Z57" s="308"/>
      <c r="AA57" s="308"/>
      <c r="AB57" s="308"/>
      <c r="AC57" s="324">
        <f>IF(ISNUMBER(U57),U57/8,"")</f>
        <v>1</v>
      </c>
      <c r="AD57" s="324"/>
      <c r="AE57" s="324"/>
      <c r="AF57" s="324"/>
      <c r="AG57" s="309" t="s">
        <v>51</v>
      </c>
      <c r="AH57" s="309"/>
      <c r="AI57" s="36"/>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row>
    <row r="58" spans="2:70" ht="7.5" customHeight="1">
      <c r="B58" s="16"/>
      <c r="C58" s="321"/>
      <c r="D58" s="321"/>
      <c r="E58" s="321"/>
      <c r="F58" s="321"/>
      <c r="G58" s="308"/>
      <c r="H58" s="308"/>
      <c r="I58" s="308"/>
      <c r="J58" s="308"/>
      <c r="K58" s="324"/>
      <c r="L58" s="324"/>
      <c r="M58" s="324"/>
      <c r="N58" s="324"/>
      <c r="O58" s="309"/>
      <c r="P58" s="309"/>
      <c r="Q58" s="309"/>
      <c r="R58" s="36"/>
      <c r="S58" s="36"/>
      <c r="T58" s="36"/>
      <c r="U58" s="321"/>
      <c r="V58" s="321"/>
      <c r="W58" s="321"/>
      <c r="X58" s="321"/>
      <c r="Y58" s="308"/>
      <c r="Z58" s="308"/>
      <c r="AA58" s="308"/>
      <c r="AB58" s="308"/>
      <c r="AC58" s="324"/>
      <c r="AD58" s="324"/>
      <c r="AE58" s="324"/>
      <c r="AF58" s="324"/>
      <c r="AG58" s="309"/>
      <c r="AH58" s="309"/>
      <c r="AI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row>
    <row r="59" spans="2:70" ht="7.5" customHeight="1">
      <c r="B59" s="36"/>
      <c r="C59" s="2"/>
      <c r="D59" s="2"/>
      <c r="E59" s="2"/>
      <c r="F59" s="2"/>
      <c r="G59" s="36"/>
      <c r="H59" s="36"/>
      <c r="I59" s="36"/>
      <c r="J59" s="36"/>
      <c r="K59" s="2"/>
      <c r="L59" s="2"/>
      <c r="M59" s="2"/>
      <c r="N59" s="2"/>
      <c r="O59" s="36"/>
      <c r="P59" s="36"/>
      <c r="Q59" s="36"/>
      <c r="R59" s="36"/>
      <c r="S59" s="36"/>
      <c r="T59" s="36"/>
      <c r="U59" s="36"/>
      <c r="V59" s="36"/>
      <c r="W59" s="36"/>
      <c r="X59" s="36"/>
      <c r="Y59" s="36"/>
      <c r="Z59" s="36"/>
      <c r="AA59" s="36"/>
      <c r="AB59" s="36"/>
      <c r="AC59" s="36"/>
      <c r="AD59" s="36"/>
      <c r="AE59" s="36"/>
      <c r="AF59" s="36"/>
      <c r="AG59" s="36"/>
      <c r="AH59" s="36"/>
      <c r="AI59" s="36"/>
      <c r="AK59" s="334" t="s">
        <v>193</v>
      </c>
      <c r="AL59" s="334"/>
      <c r="AM59" s="334"/>
      <c r="AN59" s="334"/>
      <c r="AO59" s="334"/>
      <c r="AP59" s="334"/>
      <c r="AQ59" s="334"/>
      <c r="AR59" s="334"/>
      <c r="AS59" s="334"/>
      <c r="AT59" s="334"/>
      <c r="AU59" s="334"/>
      <c r="AV59" s="334"/>
      <c r="AW59" s="334"/>
      <c r="AX59" s="334"/>
      <c r="AY59" s="334"/>
      <c r="AZ59" s="334"/>
      <c r="BA59" s="334"/>
      <c r="BB59" s="334"/>
      <c r="BC59" s="334"/>
      <c r="BD59" s="334"/>
      <c r="BE59" s="334"/>
      <c r="BF59" s="337">
        <v>15</v>
      </c>
      <c r="BG59" s="337"/>
      <c r="BH59" s="337"/>
      <c r="BI59" s="331" t="s">
        <v>32</v>
      </c>
      <c r="BJ59" s="331"/>
      <c r="BK59" s="331"/>
      <c r="BL59" s="331"/>
      <c r="BM59" s="335">
        <f>IF(ISNUMBER(BF59),BF59*9/5+32,"")</f>
        <v>59</v>
      </c>
      <c r="BN59" s="335"/>
      <c r="BO59" s="335"/>
      <c r="BP59" s="335"/>
      <c r="BQ59" s="315" t="s">
        <v>33</v>
      </c>
      <c r="BR59" s="315"/>
    </row>
    <row r="60" spans="2:70" ht="7.5" customHeight="1">
      <c r="B60" s="16"/>
      <c r="C60" s="321">
        <v>1</v>
      </c>
      <c r="D60" s="321"/>
      <c r="E60" s="321"/>
      <c r="F60" s="321"/>
      <c r="G60" s="308" t="s">
        <v>54</v>
      </c>
      <c r="H60" s="308"/>
      <c r="I60" s="308"/>
      <c r="J60" s="308"/>
      <c r="K60" s="208">
        <f>IF(ISNUMBER(C60),C60*128,"")</f>
        <v>128</v>
      </c>
      <c r="L60" s="208"/>
      <c r="M60" s="208"/>
      <c r="N60" s="208"/>
      <c r="O60" s="309" t="s">
        <v>185</v>
      </c>
      <c r="P60" s="309"/>
      <c r="Q60" s="309"/>
      <c r="R60" s="36"/>
      <c r="S60" s="36"/>
      <c r="T60" s="36"/>
      <c r="U60" s="323">
        <v>128</v>
      </c>
      <c r="V60" s="323"/>
      <c r="W60" s="323"/>
      <c r="X60" s="323"/>
      <c r="Y60" s="308" t="s">
        <v>184</v>
      </c>
      <c r="Z60" s="308"/>
      <c r="AA60" s="308"/>
      <c r="AB60" s="308"/>
      <c r="AC60" s="324">
        <f>IF(ISNUMBER(U60),U60/128,"")</f>
        <v>1</v>
      </c>
      <c r="AD60" s="324"/>
      <c r="AE60" s="324"/>
      <c r="AF60" s="324"/>
      <c r="AG60" s="309" t="s">
        <v>51</v>
      </c>
      <c r="AH60" s="309"/>
      <c r="AI60" s="36"/>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7"/>
      <c r="BG60" s="337"/>
      <c r="BH60" s="337"/>
      <c r="BI60" s="331"/>
      <c r="BJ60" s="331"/>
      <c r="BK60" s="331"/>
      <c r="BL60" s="331"/>
      <c r="BM60" s="335"/>
      <c r="BN60" s="335"/>
      <c r="BO60" s="335"/>
      <c r="BP60" s="335"/>
      <c r="BQ60" s="315"/>
      <c r="BR60" s="315"/>
    </row>
    <row r="61" spans="2:70" ht="7.5" customHeight="1">
      <c r="B61" s="16"/>
      <c r="C61" s="321"/>
      <c r="D61" s="321"/>
      <c r="E61" s="321"/>
      <c r="F61" s="321"/>
      <c r="G61" s="308"/>
      <c r="H61" s="308"/>
      <c r="I61" s="308"/>
      <c r="J61" s="308"/>
      <c r="K61" s="208"/>
      <c r="L61" s="208"/>
      <c r="M61" s="208"/>
      <c r="N61" s="208"/>
      <c r="O61" s="309"/>
      <c r="P61" s="309"/>
      <c r="Q61" s="309"/>
      <c r="R61" s="36"/>
      <c r="S61" s="36"/>
      <c r="T61" s="36"/>
      <c r="U61" s="323"/>
      <c r="V61" s="323"/>
      <c r="W61" s="323"/>
      <c r="X61" s="323"/>
      <c r="Y61" s="308"/>
      <c r="Z61" s="308"/>
      <c r="AA61" s="308"/>
      <c r="AB61" s="308"/>
      <c r="AC61" s="324"/>
      <c r="AD61" s="324"/>
      <c r="AE61" s="324"/>
      <c r="AF61" s="324"/>
      <c r="AG61" s="309"/>
      <c r="AH61" s="309"/>
      <c r="AI61" s="36"/>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row>
    <row r="62" spans="2:70" ht="7.5" customHeight="1">
      <c r="B62" s="36"/>
      <c r="C62" s="2"/>
      <c r="D62" s="2"/>
      <c r="E62" s="2"/>
      <c r="F62" s="2"/>
      <c r="G62" s="36"/>
      <c r="H62" s="36"/>
      <c r="I62" s="36"/>
      <c r="J62" s="36"/>
      <c r="K62" s="2"/>
      <c r="L62" s="2"/>
      <c r="M62" s="2"/>
      <c r="N62" s="2"/>
      <c r="O62" s="36"/>
      <c r="P62" s="36"/>
      <c r="Q62" s="36"/>
      <c r="R62" s="36"/>
      <c r="S62" s="36"/>
      <c r="T62" s="36"/>
      <c r="U62" s="36"/>
      <c r="V62" s="36"/>
      <c r="W62" s="36"/>
      <c r="X62" s="36"/>
      <c r="Y62" s="36"/>
      <c r="Z62" s="36"/>
      <c r="AA62" s="36"/>
      <c r="AB62" s="36"/>
      <c r="AC62" s="36"/>
      <c r="AD62" s="36"/>
      <c r="AE62" s="36"/>
      <c r="AF62" s="36"/>
      <c r="AG62" s="36"/>
      <c r="AH62" s="36"/>
      <c r="AI62" s="36"/>
      <c r="AK62" s="339" t="s">
        <v>190</v>
      </c>
      <c r="AL62" s="329"/>
      <c r="AM62" s="329"/>
      <c r="AN62" s="329"/>
      <c r="AO62" s="329"/>
      <c r="AP62" s="329"/>
      <c r="AQ62" s="329"/>
      <c r="AR62" s="329"/>
      <c r="AS62" s="329"/>
      <c r="AT62" s="329"/>
      <c r="AU62" s="329"/>
      <c r="AV62" s="329"/>
      <c r="AW62" s="329"/>
      <c r="AX62" s="329"/>
      <c r="AY62" s="329"/>
      <c r="AZ62" s="329"/>
      <c r="BA62" s="329"/>
      <c r="BB62" s="329"/>
      <c r="BC62" s="329"/>
      <c r="BD62" s="329"/>
      <c r="BE62" s="329"/>
      <c r="BF62" s="337">
        <v>40</v>
      </c>
      <c r="BG62" s="337"/>
      <c r="BH62" s="337"/>
      <c r="BI62" s="331" t="s">
        <v>32</v>
      </c>
      <c r="BJ62" s="331"/>
      <c r="BK62" s="331"/>
      <c r="BL62" s="331"/>
      <c r="BM62" s="335">
        <f>IF(ISNUMBER(BF62),BF62*9/5+32,"")</f>
        <v>104</v>
      </c>
      <c r="BN62" s="335"/>
      <c r="BO62" s="335"/>
      <c r="BP62" s="335"/>
      <c r="BQ62" s="315" t="s">
        <v>33</v>
      </c>
      <c r="BR62" s="315"/>
    </row>
    <row r="63" spans="2:70" ht="7.5" customHeight="1">
      <c r="B63" s="16"/>
      <c r="C63" s="321">
        <v>4</v>
      </c>
      <c r="D63" s="321"/>
      <c r="E63" s="321"/>
      <c r="F63" s="321"/>
      <c r="G63" s="308" t="s">
        <v>257</v>
      </c>
      <c r="H63" s="308"/>
      <c r="I63" s="308"/>
      <c r="J63" s="308"/>
      <c r="K63" s="324">
        <f>IF(ISNUMBER(C63),C63*2,"")</f>
        <v>8</v>
      </c>
      <c r="L63" s="324"/>
      <c r="M63" s="324"/>
      <c r="N63" s="324"/>
      <c r="O63" s="309" t="s">
        <v>291</v>
      </c>
      <c r="P63" s="309"/>
      <c r="Q63" s="309"/>
      <c r="R63" s="36"/>
      <c r="S63" s="36"/>
      <c r="T63" s="36"/>
      <c r="U63" s="321">
        <v>8</v>
      </c>
      <c r="V63" s="321"/>
      <c r="W63" s="321"/>
      <c r="X63" s="321"/>
      <c r="Y63" s="308" t="s">
        <v>292</v>
      </c>
      <c r="Z63" s="308"/>
      <c r="AA63" s="308"/>
      <c r="AB63" s="308"/>
      <c r="AC63" s="324">
        <f>IF(ISNUMBER(U63),U63/2,"")</f>
        <v>4</v>
      </c>
      <c r="AD63" s="324"/>
      <c r="AE63" s="324"/>
      <c r="AF63" s="324"/>
      <c r="AG63" s="309" t="s">
        <v>256</v>
      </c>
      <c r="AH63" s="309"/>
      <c r="AI63" s="36"/>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37"/>
      <c r="BG63" s="337"/>
      <c r="BH63" s="337"/>
      <c r="BI63" s="331"/>
      <c r="BJ63" s="331"/>
      <c r="BK63" s="331"/>
      <c r="BL63" s="331"/>
      <c r="BM63" s="335"/>
      <c r="BN63" s="335"/>
      <c r="BO63" s="335"/>
      <c r="BP63" s="335"/>
      <c r="BQ63" s="315"/>
      <c r="BR63" s="315"/>
    </row>
    <row r="64" spans="2:70" ht="7.5" customHeight="1">
      <c r="B64" s="16"/>
      <c r="C64" s="321"/>
      <c r="D64" s="321"/>
      <c r="E64" s="321"/>
      <c r="F64" s="321"/>
      <c r="G64" s="308"/>
      <c r="H64" s="308"/>
      <c r="I64" s="308"/>
      <c r="J64" s="308"/>
      <c r="K64" s="324"/>
      <c r="L64" s="324"/>
      <c r="M64" s="324"/>
      <c r="N64" s="324"/>
      <c r="O64" s="309"/>
      <c r="P64" s="309"/>
      <c r="Q64" s="309"/>
      <c r="R64" s="36"/>
      <c r="S64" s="36"/>
      <c r="T64" s="36"/>
      <c r="U64" s="321"/>
      <c r="V64" s="321"/>
      <c r="W64" s="321"/>
      <c r="X64" s="321"/>
      <c r="Y64" s="308"/>
      <c r="Z64" s="308"/>
      <c r="AA64" s="308"/>
      <c r="AB64" s="308"/>
      <c r="AC64" s="324"/>
      <c r="AD64" s="324"/>
      <c r="AE64" s="324"/>
      <c r="AF64" s="324"/>
      <c r="AG64" s="309"/>
      <c r="AH64" s="309"/>
      <c r="AI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row>
    <row r="65" spans="2:70" ht="7.5" customHeight="1">
      <c r="B65" s="36"/>
      <c r="C65" s="2"/>
      <c r="D65" s="2"/>
      <c r="E65" s="2"/>
      <c r="F65" s="2"/>
      <c r="G65" s="36"/>
      <c r="H65" s="36"/>
      <c r="I65" s="36"/>
      <c r="J65" s="36"/>
      <c r="K65" s="2"/>
      <c r="L65" s="2"/>
      <c r="M65" s="2"/>
      <c r="N65" s="2"/>
      <c r="O65" s="36"/>
      <c r="P65" s="36"/>
      <c r="Q65" s="36"/>
      <c r="R65" s="36"/>
      <c r="S65" s="36"/>
      <c r="T65" s="36"/>
      <c r="U65" s="36"/>
      <c r="V65" s="36"/>
      <c r="W65" s="36"/>
      <c r="X65" s="36"/>
      <c r="Y65" s="36"/>
      <c r="Z65" s="36"/>
      <c r="AA65" s="36"/>
      <c r="AB65" s="36"/>
      <c r="AC65" s="36"/>
      <c r="AD65" s="36"/>
      <c r="AE65" s="36"/>
      <c r="AF65" s="36"/>
      <c r="AG65" s="36"/>
      <c r="AH65" s="36"/>
      <c r="AI65" s="36"/>
      <c r="AK65" s="329" t="s">
        <v>186</v>
      </c>
      <c r="AL65" s="329"/>
      <c r="AM65" s="329"/>
      <c r="AN65" s="329"/>
      <c r="AO65" s="329"/>
      <c r="AP65" s="329"/>
      <c r="AQ65" s="329"/>
      <c r="AR65" s="329"/>
      <c r="AS65" s="329"/>
      <c r="AT65" s="329"/>
      <c r="AU65" s="338">
        <v>1.05</v>
      </c>
      <c r="AV65" s="338"/>
      <c r="AW65" s="338"/>
      <c r="AX65" s="338"/>
      <c r="AY65" s="338"/>
      <c r="AZ65" s="331" t="s">
        <v>187</v>
      </c>
      <c r="BA65" s="331"/>
      <c r="BB65" s="331"/>
      <c r="BC65" s="331"/>
      <c r="BD65" s="331"/>
      <c r="BE65" s="331"/>
      <c r="BF65" s="331"/>
      <c r="BG65" s="331"/>
      <c r="BH65" s="331"/>
      <c r="BI65" s="331"/>
      <c r="BJ65" s="331"/>
      <c r="BK65" s="331"/>
      <c r="BL65" s="331"/>
      <c r="BM65" s="336">
        <f>IF(AND(ISNUMBER(BF59),ISNUMBER(BF62),ISNUMBER(AU65)),((AU65-(BF59+288.9414)/(508929.2*(BF59+68.12963))*(BF59-3.9863)^2)/(1-(BF62+288.9414)/(508929.2*(BF62+68.12963))*(BF62-3.9863)^2)),"")</f>
        <v>1.0573256576171846</v>
      </c>
      <c r="BN65" s="336"/>
      <c r="BO65" s="336"/>
      <c r="BP65" s="336"/>
      <c r="BQ65" s="336"/>
      <c r="BR65" s="17"/>
    </row>
    <row r="66" spans="2:70" ht="7.5" customHeight="1">
      <c r="B66" s="16"/>
      <c r="C66" s="323">
        <v>4</v>
      </c>
      <c r="D66" s="323"/>
      <c r="E66" s="323"/>
      <c r="F66" s="323"/>
      <c r="G66" s="308" t="s">
        <v>257</v>
      </c>
      <c r="H66" s="308"/>
      <c r="I66" s="308"/>
      <c r="J66" s="308"/>
      <c r="K66" s="324">
        <f>IF(ISNUMBER(C66),C66*32,"")</f>
        <v>128</v>
      </c>
      <c r="L66" s="324"/>
      <c r="M66" s="324"/>
      <c r="N66" s="324"/>
      <c r="O66" s="309" t="s">
        <v>185</v>
      </c>
      <c r="P66" s="309"/>
      <c r="Q66" s="309"/>
      <c r="R66" s="36"/>
      <c r="S66" s="36"/>
      <c r="T66" s="36"/>
      <c r="U66" s="321">
        <v>128</v>
      </c>
      <c r="V66" s="321"/>
      <c r="W66" s="321"/>
      <c r="X66" s="321"/>
      <c r="Y66" s="308" t="s">
        <v>184</v>
      </c>
      <c r="Z66" s="308"/>
      <c r="AA66" s="308"/>
      <c r="AB66" s="308"/>
      <c r="AC66" s="324">
        <f>IF(ISNUMBER(U66),U66/32,"")</f>
        <v>4</v>
      </c>
      <c r="AD66" s="324"/>
      <c r="AE66" s="324"/>
      <c r="AF66" s="324"/>
      <c r="AG66" s="309" t="s">
        <v>256</v>
      </c>
      <c r="AH66" s="309"/>
      <c r="AI66" s="36"/>
      <c r="AK66" s="329"/>
      <c r="AL66" s="329"/>
      <c r="AM66" s="329"/>
      <c r="AN66" s="329"/>
      <c r="AO66" s="329"/>
      <c r="AP66" s="329"/>
      <c r="AQ66" s="329"/>
      <c r="AR66" s="329"/>
      <c r="AS66" s="329"/>
      <c r="AT66" s="329"/>
      <c r="AU66" s="338"/>
      <c r="AV66" s="338"/>
      <c r="AW66" s="338"/>
      <c r="AX66" s="338"/>
      <c r="AY66" s="338"/>
      <c r="AZ66" s="331"/>
      <c r="BA66" s="331"/>
      <c r="BB66" s="331"/>
      <c r="BC66" s="331"/>
      <c r="BD66" s="331"/>
      <c r="BE66" s="331"/>
      <c r="BF66" s="331"/>
      <c r="BG66" s="331"/>
      <c r="BH66" s="331"/>
      <c r="BI66" s="331"/>
      <c r="BJ66" s="331"/>
      <c r="BK66" s="331"/>
      <c r="BL66" s="331"/>
      <c r="BM66" s="336"/>
      <c r="BN66" s="336"/>
      <c r="BO66" s="336"/>
      <c r="BP66" s="336"/>
      <c r="BQ66" s="336"/>
      <c r="BR66" s="14"/>
    </row>
    <row r="67" spans="2:70" ht="7.5" customHeight="1">
      <c r="B67" s="16"/>
      <c r="C67" s="323"/>
      <c r="D67" s="323"/>
      <c r="E67" s="323"/>
      <c r="F67" s="323"/>
      <c r="G67" s="308"/>
      <c r="H67" s="308"/>
      <c r="I67" s="308"/>
      <c r="J67" s="308"/>
      <c r="K67" s="324"/>
      <c r="L67" s="324"/>
      <c r="M67" s="324"/>
      <c r="N67" s="324"/>
      <c r="O67" s="309"/>
      <c r="P67" s="309"/>
      <c r="Q67" s="309"/>
      <c r="R67" s="36"/>
      <c r="S67" s="36"/>
      <c r="T67" s="36"/>
      <c r="U67" s="321"/>
      <c r="V67" s="321"/>
      <c r="W67" s="321"/>
      <c r="X67" s="321"/>
      <c r="Y67" s="308"/>
      <c r="Z67" s="308"/>
      <c r="AA67" s="308"/>
      <c r="AB67" s="308"/>
      <c r="AC67" s="324"/>
      <c r="AD67" s="324"/>
      <c r="AE67" s="324"/>
      <c r="AF67" s="324"/>
      <c r="AG67" s="309"/>
      <c r="AH67" s="309"/>
      <c r="AI67" s="36"/>
      <c r="AK67" s="105"/>
      <c r="AL67" s="105"/>
      <c r="AM67" s="105"/>
      <c r="AN67" s="105"/>
      <c r="AO67" s="105"/>
      <c r="AP67" s="105"/>
      <c r="AQ67" s="105"/>
      <c r="AR67" s="105"/>
      <c r="AS67" s="105"/>
      <c r="AT67" s="105"/>
      <c r="AU67" s="30"/>
      <c r="AV67" s="30"/>
      <c r="AW67" s="30"/>
      <c r="AX67" s="30"/>
      <c r="AY67" s="30"/>
      <c r="AZ67" s="106"/>
      <c r="BA67" s="106"/>
      <c r="BB67" s="106"/>
      <c r="BC67" s="106"/>
      <c r="BD67" s="106"/>
      <c r="BE67" s="106"/>
      <c r="BF67" s="106"/>
      <c r="BG67" s="106"/>
      <c r="BH67" s="106"/>
      <c r="BI67" s="106"/>
      <c r="BJ67" s="106"/>
      <c r="BK67" s="106"/>
      <c r="BL67" s="106"/>
      <c r="BM67" s="35"/>
      <c r="BN67" s="35"/>
      <c r="BO67" s="35"/>
      <c r="BP67" s="35"/>
      <c r="BQ67" s="35"/>
      <c r="BR67" s="14"/>
    </row>
    <row r="68" spans="2:70" ht="7.5" customHeight="1">
      <c r="B68" s="36"/>
      <c r="C68" s="2"/>
      <c r="D68" s="2"/>
      <c r="E68" s="2"/>
      <c r="F68" s="2"/>
      <c r="G68" s="36"/>
      <c r="H68" s="36"/>
      <c r="I68" s="36"/>
      <c r="J68" s="36"/>
      <c r="K68" s="2"/>
      <c r="L68" s="2"/>
      <c r="M68" s="2"/>
      <c r="N68" s="2"/>
      <c r="O68" s="36"/>
      <c r="P68" s="36"/>
      <c r="Q68" s="36"/>
      <c r="R68" s="36"/>
      <c r="S68" s="36"/>
      <c r="T68" s="36"/>
      <c r="U68" s="36"/>
      <c r="V68" s="36"/>
      <c r="W68" s="36"/>
      <c r="X68" s="36"/>
      <c r="Y68" s="36"/>
      <c r="Z68" s="36"/>
      <c r="AA68" s="36"/>
      <c r="AB68" s="36"/>
      <c r="AC68" s="2"/>
      <c r="AD68" s="2"/>
      <c r="AE68" s="2"/>
      <c r="AF68" s="2"/>
      <c r="AG68" s="36"/>
      <c r="AH68" s="36"/>
      <c r="AI68" s="36"/>
      <c r="AK68" s="303" t="str">
        <f>IF(ISNUMBER(BF62),IF(BF62&lt;(BF59-10),"Warm your sample for a more accurate reading.",IF(BF62&gt;(BF59+20),"YOUR SAMPLE IS TOO HOT FOR AN ACCURATE READING.",IF(BF62&gt;(BF59+10),"Cool your sample for a more accurate reading.","Take hydrometer readings as close as possible to ambient temps."))))</f>
        <v>YOUR SAMPLE IS TOO HOT FOR AN ACCURATE READING.</v>
      </c>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row>
    <row r="69" spans="2:70" ht="7.5" customHeight="1">
      <c r="B69" s="16"/>
      <c r="C69" s="323">
        <v>8</v>
      </c>
      <c r="D69" s="323"/>
      <c r="E69" s="323"/>
      <c r="F69" s="323"/>
      <c r="G69" s="308" t="s">
        <v>294</v>
      </c>
      <c r="H69" s="308"/>
      <c r="I69" s="308"/>
      <c r="J69" s="308"/>
      <c r="K69" s="324">
        <f>IF(ISNUMBER(C69),C69*16,"")</f>
        <v>128</v>
      </c>
      <c r="L69" s="324"/>
      <c r="M69" s="324"/>
      <c r="N69" s="324"/>
      <c r="O69" s="309" t="s">
        <v>185</v>
      </c>
      <c r="P69" s="309"/>
      <c r="Q69" s="309"/>
      <c r="R69" s="36"/>
      <c r="S69" s="36"/>
      <c r="T69" s="36"/>
      <c r="U69" s="321">
        <v>128</v>
      </c>
      <c r="V69" s="321"/>
      <c r="W69" s="321"/>
      <c r="X69" s="321"/>
      <c r="Y69" s="308" t="s">
        <v>184</v>
      </c>
      <c r="Z69" s="308"/>
      <c r="AA69" s="308"/>
      <c r="AB69" s="308"/>
      <c r="AC69" s="324">
        <f>IF(ISNUMBER(U69),U69/16,"")</f>
        <v>8</v>
      </c>
      <c r="AD69" s="324"/>
      <c r="AE69" s="324"/>
      <c r="AF69" s="324"/>
      <c r="AG69" s="309" t="s">
        <v>291</v>
      </c>
      <c r="AH69" s="309"/>
      <c r="AI69" s="36"/>
      <c r="AK69" s="303"/>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3"/>
      <c r="BI69" s="303"/>
      <c r="BJ69" s="303"/>
      <c r="BK69" s="303"/>
      <c r="BL69" s="303"/>
      <c r="BM69" s="303"/>
      <c r="BN69" s="303"/>
      <c r="BO69" s="303"/>
      <c r="BP69" s="303"/>
      <c r="BQ69" s="303"/>
      <c r="BR69" s="303"/>
    </row>
    <row r="70" spans="2:70" ht="7.5" customHeight="1">
      <c r="B70" s="16"/>
      <c r="C70" s="323"/>
      <c r="D70" s="323"/>
      <c r="E70" s="323"/>
      <c r="F70" s="323"/>
      <c r="G70" s="308"/>
      <c r="H70" s="308"/>
      <c r="I70" s="308"/>
      <c r="J70" s="308"/>
      <c r="K70" s="324"/>
      <c r="L70" s="324"/>
      <c r="M70" s="324"/>
      <c r="N70" s="324"/>
      <c r="O70" s="309"/>
      <c r="P70" s="309"/>
      <c r="Q70" s="309"/>
      <c r="R70" s="36"/>
      <c r="S70" s="36"/>
      <c r="T70" s="36"/>
      <c r="U70" s="321"/>
      <c r="V70" s="321"/>
      <c r="W70" s="321"/>
      <c r="X70" s="321"/>
      <c r="Y70" s="308"/>
      <c r="Z70" s="308"/>
      <c r="AA70" s="308"/>
      <c r="AB70" s="308"/>
      <c r="AC70" s="324"/>
      <c r="AD70" s="324"/>
      <c r="AE70" s="324"/>
      <c r="AF70" s="324"/>
      <c r="AG70" s="309"/>
      <c r="AH70" s="309"/>
      <c r="AI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row>
    <row r="71" spans="2:35" ht="7.5" customHeight="1">
      <c r="B71" s="36"/>
      <c r="C71" s="2"/>
      <c r="D71" s="2"/>
      <c r="E71" s="2"/>
      <c r="F71" s="2"/>
      <c r="G71" s="36"/>
      <c r="H71" s="36"/>
      <c r="I71" s="36"/>
      <c r="J71" s="36"/>
      <c r="K71" s="2"/>
      <c r="L71" s="2"/>
      <c r="M71" s="2"/>
      <c r="N71" s="2"/>
      <c r="O71" s="36"/>
      <c r="P71" s="36"/>
      <c r="Q71" s="36"/>
      <c r="R71" s="36"/>
      <c r="S71" s="36"/>
      <c r="T71" s="36"/>
      <c r="U71" s="36"/>
      <c r="V71" s="36"/>
      <c r="W71" s="36"/>
      <c r="X71" s="36"/>
      <c r="Y71" s="36"/>
      <c r="Z71" s="36"/>
      <c r="AA71" s="36"/>
      <c r="AB71" s="36"/>
      <c r="AC71" s="36"/>
      <c r="AD71" s="36"/>
      <c r="AE71" s="36"/>
      <c r="AF71" s="36"/>
      <c r="AG71" s="36"/>
      <c r="AH71" s="36"/>
      <c r="AI71" s="36"/>
    </row>
    <row r="72" spans="2:70" ht="7.5" customHeight="1">
      <c r="B72" s="3"/>
      <c r="C72" s="38"/>
      <c r="D72" s="38"/>
      <c r="E72" s="38"/>
      <c r="F72" s="38"/>
      <c r="G72" s="3"/>
      <c r="H72" s="3"/>
      <c r="I72" s="3"/>
      <c r="J72" s="3"/>
      <c r="K72" s="38"/>
      <c r="L72" s="38"/>
      <c r="M72" s="38"/>
      <c r="N72" s="38"/>
      <c r="O72" s="3"/>
      <c r="P72" s="3"/>
      <c r="T72" s="3"/>
      <c r="U72" s="38"/>
      <c r="V72" s="38"/>
      <c r="W72" s="38"/>
      <c r="X72" s="38"/>
      <c r="Y72" s="3"/>
      <c r="Z72" s="3"/>
      <c r="AA72" s="3"/>
      <c r="AB72" s="3"/>
      <c r="AC72" s="38"/>
      <c r="AD72" s="38"/>
      <c r="AE72" s="38"/>
      <c r="AF72" s="38"/>
      <c r="AG72" s="3"/>
      <c r="AH72" s="3"/>
      <c r="AK72" s="319" t="s">
        <v>272</v>
      </c>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row>
    <row r="73" spans="2:70" ht="7.5" customHeight="1">
      <c r="B73" s="319" t="s">
        <v>296</v>
      </c>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row>
    <row r="74" spans="2:70" ht="7.5" customHeight="1">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row>
    <row r="75" spans="2:70" ht="7.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K75" s="334" t="s">
        <v>273</v>
      </c>
      <c r="AL75" s="334"/>
      <c r="AM75" s="334"/>
      <c r="AN75" s="334"/>
      <c r="AO75" s="334"/>
      <c r="AP75" s="334"/>
      <c r="AQ75" s="334"/>
      <c r="AR75" s="334"/>
      <c r="AS75" s="334"/>
      <c r="AT75" s="334"/>
      <c r="AU75" s="334"/>
      <c r="AV75" s="334"/>
      <c r="AW75" s="333">
        <v>121</v>
      </c>
      <c r="AX75" s="333"/>
      <c r="AY75" s="333"/>
      <c r="AZ75" s="331" t="s">
        <v>71</v>
      </c>
      <c r="BA75" s="331"/>
      <c r="BB75" s="331"/>
      <c r="BC75" s="331"/>
      <c r="BD75" s="331"/>
      <c r="BE75" s="332">
        <f>IF(ISNUMBER(AW75),AW75*0.03527396194958,"")</f>
        <v>4.268149395899179</v>
      </c>
      <c r="BF75" s="332"/>
      <c r="BG75" s="332"/>
      <c r="BH75" s="309" t="s">
        <v>274</v>
      </c>
      <c r="BI75" s="315"/>
      <c r="BJ75" s="315"/>
      <c r="BK75" s="315"/>
      <c r="BL75" s="315"/>
      <c r="BM75" s="315"/>
      <c r="BN75" s="315"/>
      <c r="BO75" s="315"/>
      <c r="BP75" s="315"/>
      <c r="BQ75" s="315"/>
      <c r="BR75" s="17"/>
    </row>
    <row r="76" spans="2:70" ht="7.5" customHeight="1">
      <c r="B76" s="16"/>
      <c r="C76" s="311">
        <v>1</v>
      </c>
      <c r="D76" s="311"/>
      <c r="E76" s="311"/>
      <c r="F76" s="311"/>
      <c r="G76" s="308" t="s">
        <v>75</v>
      </c>
      <c r="H76" s="308"/>
      <c r="I76" s="308"/>
      <c r="J76" s="308"/>
      <c r="K76" s="208">
        <f>IF(ISNUMBER(C76),C76*1000,"")</f>
        <v>1000</v>
      </c>
      <c r="L76" s="208"/>
      <c r="M76" s="208"/>
      <c r="N76" s="208"/>
      <c r="O76" s="309" t="s">
        <v>65</v>
      </c>
      <c r="P76" s="309"/>
      <c r="Q76" s="36"/>
      <c r="R76" s="36"/>
      <c r="S76" s="36"/>
      <c r="T76" s="16"/>
      <c r="U76" s="340">
        <v>1000</v>
      </c>
      <c r="V76" s="340"/>
      <c r="W76" s="340"/>
      <c r="X76" s="340"/>
      <c r="Y76" s="308" t="s">
        <v>66</v>
      </c>
      <c r="Z76" s="308"/>
      <c r="AA76" s="308"/>
      <c r="AB76" s="308"/>
      <c r="AC76" s="318">
        <f>IF(ISNUMBER(U76),U76/1000,"")</f>
        <v>1</v>
      </c>
      <c r="AD76" s="318"/>
      <c r="AE76" s="318"/>
      <c r="AF76" s="318"/>
      <c r="AG76" s="309" t="s">
        <v>5</v>
      </c>
      <c r="AH76" s="309"/>
      <c r="AI76" s="36"/>
      <c r="AK76" s="334"/>
      <c r="AL76" s="334"/>
      <c r="AM76" s="334"/>
      <c r="AN76" s="334"/>
      <c r="AO76" s="334"/>
      <c r="AP76" s="334"/>
      <c r="AQ76" s="334"/>
      <c r="AR76" s="334"/>
      <c r="AS76" s="334"/>
      <c r="AT76" s="334"/>
      <c r="AU76" s="334"/>
      <c r="AV76" s="334"/>
      <c r="AW76" s="333"/>
      <c r="AX76" s="333"/>
      <c r="AY76" s="333"/>
      <c r="AZ76" s="331"/>
      <c r="BA76" s="331"/>
      <c r="BB76" s="331"/>
      <c r="BC76" s="331"/>
      <c r="BD76" s="331"/>
      <c r="BE76" s="332"/>
      <c r="BF76" s="332"/>
      <c r="BG76" s="332"/>
      <c r="BH76" s="315"/>
      <c r="BI76" s="315"/>
      <c r="BJ76" s="315"/>
      <c r="BK76" s="315"/>
      <c r="BL76" s="315"/>
      <c r="BM76" s="315"/>
      <c r="BN76" s="315"/>
      <c r="BO76" s="315"/>
      <c r="BP76" s="315"/>
      <c r="BQ76" s="315"/>
      <c r="BR76" s="17"/>
    </row>
    <row r="77" spans="2:70" ht="7.5" customHeight="1">
      <c r="B77" s="16"/>
      <c r="C77" s="311"/>
      <c r="D77" s="311"/>
      <c r="E77" s="311"/>
      <c r="F77" s="311"/>
      <c r="G77" s="308"/>
      <c r="H77" s="308"/>
      <c r="I77" s="308"/>
      <c r="J77" s="308"/>
      <c r="K77" s="208"/>
      <c r="L77" s="208"/>
      <c r="M77" s="208"/>
      <c r="N77" s="208"/>
      <c r="O77" s="309"/>
      <c r="P77" s="309"/>
      <c r="Q77" s="36"/>
      <c r="R77" s="36"/>
      <c r="S77" s="36"/>
      <c r="T77" s="16"/>
      <c r="U77" s="340"/>
      <c r="V77" s="340"/>
      <c r="W77" s="340"/>
      <c r="X77" s="340"/>
      <c r="Y77" s="308"/>
      <c r="Z77" s="308"/>
      <c r="AA77" s="308"/>
      <c r="AB77" s="308"/>
      <c r="AC77" s="318"/>
      <c r="AD77" s="318"/>
      <c r="AE77" s="318"/>
      <c r="AF77" s="318"/>
      <c r="AG77" s="309"/>
      <c r="AH77" s="309"/>
      <c r="AI77" s="36"/>
      <c r="AK77" s="15"/>
      <c r="AL77" s="15"/>
      <c r="AM77" s="15"/>
      <c r="AN77" s="15"/>
      <c r="AO77" s="15"/>
      <c r="AP77" s="15"/>
      <c r="AQ77" s="15"/>
      <c r="AR77" s="15"/>
      <c r="AS77" s="15"/>
      <c r="AT77" s="15"/>
      <c r="AU77" s="17"/>
      <c r="AV77" s="13"/>
      <c r="AW77" s="13"/>
      <c r="AX77" s="13"/>
      <c r="AY77" s="13"/>
      <c r="AZ77" s="13"/>
      <c r="BA77" s="13"/>
      <c r="BB77" s="13"/>
      <c r="BC77" s="13"/>
      <c r="BD77" s="13"/>
      <c r="BE77" s="13"/>
      <c r="BF77" s="13"/>
      <c r="BG77" s="13"/>
      <c r="BH77" s="13"/>
      <c r="BI77" s="13"/>
      <c r="BJ77" s="13"/>
      <c r="BK77" s="13"/>
      <c r="BL77" s="13"/>
      <c r="BM77" s="13"/>
      <c r="BN77" s="13"/>
      <c r="BO77" s="13"/>
      <c r="BP77" s="13"/>
      <c r="BQ77" s="13"/>
      <c r="BR77" s="13"/>
    </row>
    <row r="78" spans="2:70" ht="7.5" customHeight="1">
      <c r="B78" s="36"/>
      <c r="C78" s="2"/>
      <c r="D78" s="2"/>
      <c r="E78" s="2"/>
      <c r="F78" s="2"/>
      <c r="G78" s="36"/>
      <c r="H78" s="36"/>
      <c r="I78" s="36"/>
      <c r="J78" s="36"/>
      <c r="K78" s="2"/>
      <c r="L78" s="2"/>
      <c r="M78" s="2"/>
      <c r="N78" s="2"/>
      <c r="O78" s="36"/>
      <c r="P78" s="36"/>
      <c r="Q78" s="36"/>
      <c r="R78" s="36"/>
      <c r="S78" s="36"/>
      <c r="T78" s="36"/>
      <c r="U78" s="2"/>
      <c r="V78" s="2"/>
      <c r="W78" s="2"/>
      <c r="X78" s="2"/>
      <c r="Y78" s="36"/>
      <c r="Z78" s="36"/>
      <c r="AA78" s="36"/>
      <c r="AB78" s="36"/>
      <c r="AC78" s="2"/>
      <c r="AD78" s="2"/>
      <c r="AE78" s="2"/>
      <c r="AF78" s="2"/>
      <c r="AG78" s="36"/>
      <c r="AH78" s="36"/>
      <c r="AI78" s="36"/>
      <c r="AK78" s="329" t="s">
        <v>188</v>
      </c>
      <c r="AL78" s="329"/>
      <c r="AM78" s="329"/>
      <c r="AN78" s="329"/>
      <c r="AO78" s="329"/>
      <c r="AP78" s="329"/>
      <c r="AQ78" s="329"/>
      <c r="AR78" s="329"/>
      <c r="AS78" s="329"/>
      <c r="AT78" s="329"/>
      <c r="AU78" s="329"/>
      <c r="AV78" s="329"/>
      <c r="AW78" s="208">
        <f>IF(ISNUMBER(AW75),AW75/1.15,"")</f>
        <v>105.21739130434783</v>
      </c>
      <c r="AX78" s="330"/>
      <c r="AY78" s="330"/>
      <c r="AZ78" s="331" t="s">
        <v>71</v>
      </c>
      <c r="BA78" s="331"/>
      <c r="BB78" s="331"/>
      <c r="BC78" s="331"/>
      <c r="BD78" s="331"/>
      <c r="BE78" s="332">
        <f>IF(ISNUMBER(AW78),AW78*0.03527396194958,"")</f>
        <v>3.7114342573036345</v>
      </c>
      <c r="BF78" s="332"/>
      <c r="BG78" s="332"/>
      <c r="BH78" s="309" t="s">
        <v>275</v>
      </c>
      <c r="BI78" s="309"/>
      <c r="BJ78" s="309"/>
      <c r="BK78" s="309"/>
      <c r="BL78" s="309"/>
      <c r="BM78" s="309"/>
      <c r="BN78" s="309"/>
      <c r="BO78" s="309"/>
      <c r="BP78" s="309"/>
      <c r="BQ78" s="309"/>
      <c r="BR78" s="309"/>
    </row>
    <row r="79" spans="2:70" ht="7.5" customHeight="1">
      <c r="B79" s="16"/>
      <c r="C79" s="311">
        <v>1</v>
      </c>
      <c r="D79" s="311"/>
      <c r="E79" s="311"/>
      <c r="F79" s="311"/>
      <c r="G79" s="308" t="s">
        <v>75</v>
      </c>
      <c r="H79" s="308"/>
      <c r="I79" s="308"/>
      <c r="J79" s="308"/>
      <c r="K79" s="318">
        <f>IF(ISNUMBER(C79),C79*0.2199692482991,"")</f>
        <v>0.2199692482991</v>
      </c>
      <c r="L79" s="318"/>
      <c r="M79" s="318"/>
      <c r="N79" s="318"/>
      <c r="O79" s="309" t="s">
        <v>51</v>
      </c>
      <c r="P79" s="309"/>
      <c r="Q79" s="36"/>
      <c r="R79" s="36"/>
      <c r="S79" s="36"/>
      <c r="T79" s="16"/>
      <c r="U79" s="328">
        <v>0.26</v>
      </c>
      <c r="V79" s="328"/>
      <c r="W79" s="328"/>
      <c r="X79" s="328"/>
      <c r="Y79" s="308" t="s">
        <v>54</v>
      </c>
      <c r="Z79" s="308"/>
      <c r="AA79" s="308"/>
      <c r="AB79" s="308"/>
      <c r="AC79" s="318">
        <f>IF(ISNUMBER(U79),U79/0.2199692482991,"")</f>
        <v>1.1819833999999345</v>
      </c>
      <c r="AD79" s="318"/>
      <c r="AE79" s="318"/>
      <c r="AF79" s="318"/>
      <c r="AG79" s="309" t="s">
        <v>5</v>
      </c>
      <c r="AH79" s="309"/>
      <c r="AI79" s="36"/>
      <c r="AK79" s="329"/>
      <c r="AL79" s="329"/>
      <c r="AM79" s="329"/>
      <c r="AN79" s="329"/>
      <c r="AO79" s="329"/>
      <c r="AP79" s="329"/>
      <c r="AQ79" s="329"/>
      <c r="AR79" s="329"/>
      <c r="AS79" s="329"/>
      <c r="AT79" s="329"/>
      <c r="AU79" s="329"/>
      <c r="AV79" s="329"/>
      <c r="AW79" s="330"/>
      <c r="AX79" s="330"/>
      <c r="AY79" s="330"/>
      <c r="AZ79" s="331"/>
      <c r="BA79" s="331"/>
      <c r="BB79" s="331"/>
      <c r="BC79" s="331"/>
      <c r="BD79" s="331"/>
      <c r="BE79" s="332"/>
      <c r="BF79" s="332"/>
      <c r="BG79" s="332"/>
      <c r="BH79" s="309"/>
      <c r="BI79" s="309"/>
      <c r="BJ79" s="309"/>
      <c r="BK79" s="309"/>
      <c r="BL79" s="309"/>
      <c r="BM79" s="309"/>
      <c r="BN79" s="309"/>
      <c r="BO79" s="309"/>
      <c r="BP79" s="309"/>
      <c r="BQ79" s="309"/>
      <c r="BR79" s="309"/>
    </row>
    <row r="80" spans="2:70" ht="7.5" customHeight="1">
      <c r="B80" s="16"/>
      <c r="C80" s="311"/>
      <c r="D80" s="311"/>
      <c r="E80" s="311"/>
      <c r="F80" s="311"/>
      <c r="G80" s="308"/>
      <c r="H80" s="308"/>
      <c r="I80" s="308"/>
      <c r="J80" s="308"/>
      <c r="K80" s="318"/>
      <c r="L80" s="318"/>
      <c r="M80" s="318"/>
      <c r="N80" s="318"/>
      <c r="O80" s="309"/>
      <c r="P80" s="309"/>
      <c r="Q80" s="36"/>
      <c r="R80" s="36"/>
      <c r="S80" s="36"/>
      <c r="T80" s="16"/>
      <c r="U80" s="328"/>
      <c r="V80" s="328"/>
      <c r="W80" s="328"/>
      <c r="X80" s="328"/>
      <c r="Y80" s="308"/>
      <c r="Z80" s="308"/>
      <c r="AA80" s="308"/>
      <c r="AB80" s="308"/>
      <c r="AC80" s="318"/>
      <c r="AD80" s="318"/>
      <c r="AE80" s="318"/>
      <c r="AF80" s="318"/>
      <c r="AG80" s="309"/>
      <c r="AH80" s="309"/>
      <c r="AI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2:70" ht="7.5" customHeight="1">
      <c r="B81" s="36"/>
      <c r="C81" s="2"/>
      <c r="D81" s="2"/>
      <c r="E81" s="2"/>
      <c r="F81" s="2"/>
      <c r="G81" s="36"/>
      <c r="H81" s="36"/>
      <c r="I81" s="36"/>
      <c r="J81" s="36"/>
      <c r="K81" s="2"/>
      <c r="L81" s="2"/>
      <c r="M81" s="2"/>
      <c r="N81" s="2"/>
      <c r="O81" s="36"/>
      <c r="P81" s="36"/>
      <c r="Q81" s="36"/>
      <c r="R81" s="36"/>
      <c r="S81" s="36"/>
      <c r="T81" s="36"/>
      <c r="U81" s="2"/>
      <c r="V81" s="2"/>
      <c r="W81" s="2"/>
      <c r="X81" s="2"/>
      <c r="Y81" s="36"/>
      <c r="Z81" s="36"/>
      <c r="AA81" s="36"/>
      <c r="AB81" s="36"/>
      <c r="AC81" s="2"/>
      <c r="AD81" s="2"/>
      <c r="AE81" s="2"/>
      <c r="AF81" s="2"/>
      <c r="AG81" s="36"/>
      <c r="AH81" s="36"/>
      <c r="AI81" s="36"/>
      <c r="AK81" s="329" t="s">
        <v>188</v>
      </c>
      <c r="AL81" s="329"/>
      <c r="AM81" s="329"/>
      <c r="AN81" s="329"/>
      <c r="AO81" s="329"/>
      <c r="AP81" s="329"/>
      <c r="AQ81" s="329"/>
      <c r="AR81" s="329"/>
      <c r="AS81" s="329"/>
      <c r="AT81" s="329"/>
      <c r="AU81" s="329"/>
      <c r="AV81" s="329"/>
      <c r="AW81" s="208">
        <f>IF(ISNUMBER(AW78),AW78*1.3,"")</f>
        <v>136.7826086956522</v>
      </c>
      <c r="AX81" s="330"/>
      <c r="AY81" s="330"/>
      <c r="AZ81" s="331" t="s">
        <v>71</v>
      </c>
      <c r="BA81" s="331"/>
      <c r="BB81" s="331"/>
      <c r="BC81" s="331"/>
      <c r="BD81" s="331"/>
      <c r="BE81" s="332">
        <f>IF(ISNUMBER(AW81),AW81*0.03527396194958,"")</f>
        <v>4.824864534494726</v>
      </c>
      <c r="BF81" s="332"/>
      <c r="BG81" s="332"/>
      <c r="BH81" s="309" t="s">
        <v>278</v>
      </c>
      <c r="BI81" s="315"/>
      <c r="BJ81" s="315"/>
      <c r="BK81" s="315"/>
      <c r="BL81" s="315"/>
      <c r="BM81" s="315"/>
      <c r="BN81" s="315"/>
      <c r="BO81" s="315"/>
      <c r="BP81" s="315"/>
      <c r="BQ81" s="315"/>
      <c r="BR81" s="17"/>
    </row>
    <row r="82" spans="2:70" ht="7.5" customHeight="1">
      <c r="B82" s="16"/>
      <c r="C82" s="321">
        <v>1</v>
      </c>
      <c r="D82" s="321"/>
      <c r="E82" s="321"/>
      <c r="F82" s="321"/>
      <c r="G82" s="308" t="s">
        <v>75</v>
      </c>
      <c r="H82" s="308"/>
      <c r="I82" s="308"/>
      <c r="J82" s="308"/>
      <c r="K82" s="324">
        <f>IF(ISNUMBER(C82),C82*0.8798769931964,"")</f>
        <v>0.8798769931964</v>
      </c>
      <c r="L82" s="324"/>
      <c r="M82" s="324"/>
      <c r="N82" s="324"/>
      <c r="O82" s="309" t="s">
        <v>256</v>
      </c>
      <c r="P82" s="309"/>
      <c r="Q82" s="309"/>
      <c r="R82" s="36"/>
      <c r="S82" s="36"/>
      <c r="T82" s="36"/>
      <c r="U82" s="321">
        <v>18</v>
      </c>
      <c r="V82" s="321"/>
      <c r="W82" s="321"/>
      <c r="X82" s="321"/>
      <c r="Y82" s="308" t="s">
        <v>290</v>
      </c>
      <c r="Z82" s="308"/>
      <c r="AA82" s="308"/>
      <c r="AB82" s="308"/>
      <c r="AC82" s="324">
        <f>IF(ISNUMBER(U82),U82/0.8798769931964,"")</f>
        <v>20.457404999998865</v>
      </c>
      <c r="AD82" s="324"/>
      <c r="AE82" s="324"/>
      <c r="AF82" s="324"/>
      <c r="AG82" s="309" t="s">
        <v>5</v>
      </c>
      <c r="AH82" s="309"/>
      <c r="AI82" s="36"/>
      <c r="AK82" s="329"/>
      <c r="AL82" s="329"/>
      <c r="AM82" s="329"/>
      <c r="AN82" s="329"/>
      <c r="AO82" s="329"/>
      <c r="AP82" s="329"/>
      <c r="AQ82" s="329"/>
      <c r="AR82" s="329"/>
      <c r="AS82" s="329"/>
      <c r="AT82" s="329"/>
      <c r="AU82" s="329"/>
      <c r="AV82" s="329"/>
      <c r="AW82" s="330"/>
      <c r="AX82" s="330"/>
      <c r="AY82" s="330"/>
      <c r="AZ82" s="331"/>
      <c r="BA82" s="331"/>
      <c r="BB82" s="331"/>
      <c r="BC82" s="331"/>
      <c r="BD82" s="331"/>
      <c r="BE82" s="332"/>
      <c r="BF82" s="332"/>
      <c r="BG82" s="332"/>
      <c r="BH82" s="315"/>
      <c r="BI82" s="315"/>
      <c r="BJ82" s="315"/>
      <c r="BK82" s="315"/>
      <c r="BL82" s="315"/>
      <c r="BM82" s="315"/>
      <c r="BN82" s="315"/>
      <c r="BO82" s="315"/>
      <c r="BP82" s="315"/>
      <c r="BQ82" s="315"/>
      <c r="BR82" s="17"/>
    </row>
    <row r="83" spans="2:70" ht="7.5" customHeight="1">
      <c r="B83" s="16"/>
      <c r="C83" s="321"/>
      <c r="D83" s="321"/>
      <c r="E83" s="321"/>
      <c r="F83" s="321"/>
      <c r="G83" s="308"/>
      <c r="H83" s="308"/>
      <c r="I83" s="308"/>
      <c r="J83" s="308"/>
      <c r="K83" s="324"/>
      <c r="L83" s="324"/>
      <c r="M83" s="324"/>
      <c r="N83" s="324"/>
      <c r="O83" s="309"/>
      <c r="P83" s="309"/>
      <c r="Q83" s="309"/>
      <c r="R83" s="36"/>
      <c r="S83" s="36"/>
      <c r="T83" s="36"/>
      <c r="U83" s="321"/>
      <c r="V83" s="321"/>
      <c r="W83" s="321"/>
      <c r="X83" s="321"/>
      <c r="Y83" s="308"/>
      <c r="Z83" s="308"/>
      <c r="AA83" s="308"/>
      <c r="AB83" s="308"/>
      <c r="AC83" s="324"/>
      <c r="AD83" s="324"/>
      <c r="AE83" s="324"/>
      <c r="AF83" s="324"/>
      <c r="AG83" s="309"/>
      <c r="AH83" s="309"/>
      <c r="AI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row>
    <row r="84" spans="2:70" ht="7.5" customHeight="1">
      <c r="B84" s="36"/>
      <c r="C84" s="2"/>
      <c r="D84" s="2"/>
      <c r="E84" s="2"/>
      <c r="F84" s="2"/>
      <c r="G84" s="36"/>
      <c r="H84" s="36"/>
      <c r="I84" s="36"/>
      <c r="J84" s="36"/>
      <c r="K84" s="2"/>
      <c r="L84" s="2"/>
      <c r="M84" s="2"/>
      <c r="N84" s="2"/>
      <c r="O84" s="36"/>
      <c r="P84" s="36"/>
      <c r="Q84" s="36"/>
      <c r="R84" s="36"/>
      <c r="S84" s="36"/>
      <c r="T84" s="36"/>
      <c r="U84" s="36"/>
      <c r="V84" s="36"/>
      <c r="W84" s="36"/>
      <c r="X84" s="36"/>
      <c r="Y84" s="36"/>
      <c r="Z84" s="36"/>
      <c r="AA84" s="36"/>
      <c r="AB84" s="36"/>
      <c r="AC84" s="36"/>
      <c r="AD84" s="36"/>
      <c r="AE84" s="36"/>
      <c r="AF84" s="36"/>
      <c r="AG84" s="36"/>
      <c r="AH84" s="36"/>
      <c r="AI84" s="36"/>
      <c r="AK84" s="329" t="s">
        <v>188</v>
      </c>
      <c r="AL84" s="329"/>
      <c r="AM84" s="329"/>
      <c r="AN84" s="329"/>
      <c r="AO84" s="329"/>
      <c r="AP84" s="329"/>
      <c r="AQ84" s="329"/>
      <c r="AR84" s="329"/>
      <c r="AS84" s="329"/>
      <c r="AT84" s="329"/>
      <c r="AU84" s="329"/>
      <c r="AV84" s="329"/>
      <c r="AW84" s="208">
        <f>IF(ISNUMBER(AW78),AW78*1.4,"")</f>
        <v>147.30434782608694</v>
      </c>
      <c r="AX84" s="330"/>
      <c r="AY84" s="330"/>
      <c r="AZ84" s="331" t="s">
        <v>71</v>
      </c>
      <c r="BA84" s="331"/>
      <c r="BB84" s="331"/>
      <c r="BC84" s="331"/>
      <c r="BD84" s="331"/>
      <c r="BE84" s="332">
        <f>IF(ISNUMBER(AW84),AW84*0.03527396194958,"")</f>
        <v>5.196007960225088</v>
      </c>
      <c r="BF84" s="332"/>
      <c r="BG84" s="332"/>
      <c r="BH84" s="309" t="s">
        <v>279</v>
      </c>
      <c r="BI84" s="309"/>
      <c r="BJ84" s="309"/>
      <c r="BK84" s="309"/>
      <c r="BL84" s="309"/>
      <c r="BM84" s="309"/>
      <c r="BN84" s="309"/>
      <c r="BO84" s="309"/>
      <c r="BP84" s="309"/>
      <c r="BQ84" s="309"/>
      <c r="BR84" s="309"/>
    </row>
    <row r="85" spans="2:71" ht="7.5" customHeight="1">
      <c r="B85" s="16"/>
      <c r="C85" s="321">
        <v>1</v>
      </c>
      <c r="D85" s="321"/>
      <c r="E85" s="321"/>
      <c r="F85" s="321"/>
      <c r="G85" s="308" t="s">
        <v>75</v>
      </c>
      <c r="H85" s="308"/>
      <c r="I85" s="308"/>
      <c r="J85" s="308"/>
      <c r="K85" s="324">
        <f>IF(ISNUMBER(C85),C85*1.759753986393,"")</f>
        <v>1.759753986393</v>
      </c>
      <c r="L85" s="324"/>
      <c r="M85" s="324"/>
      <c r="N85" s="324"/>
      <c r="O85" s="309" t="s">
        <v>291</v>
      </c>
      <c r="P85" s="309"/>
      <c r="Q85" s="309"/>
      <c r="R85" s="36"/>
      <c r="S85" s="36"/>
      <c r="T85" s="36"/>
      <c r="U85" s="321">
        <v>8</v>
      </c>
      <c r="V85" s="321"/>
      <c r="W85" s="321"/>
      <c r="X85" s="321"/>
      <c r="Y85" s="308" t="s">
        <v>292</v>
      </c>
      <c r="Z85" s="308"/>
      <c r="AA85" s="308"/>
      <c r="AB85" s="308"/>
      <c r="AC85" s="324">
        <f>IF(ISNUMBER(U85),U85/1.759753986393,"")</f>
        <v>4.54608999999923</v>
      </c>
      <c r="AD85" s="324"/>
      <c r="AE85" s="324"/>
      <c r="AF85" s="324"/>
      <c r="AG85" s="309" t="s">
        <v>5</v>
      </c>
      <c r="AH85" s="309"/>
      <c r="AI85" s="36"/>
      <c r="AK85" s="329"/>
      <c r="AL85" s="329"/>
      <c r="AM85" s="329"/>
      <c r="AN85" s="329"/>
      <c r="AO85" s="329"/>
      <c r="AP85" s="329"/>
      <c r="AQ85" s="329"/>
      <c r="AR85" s="329"/>
      <c r="AS85" s="329"/>
      <c r="AT85" s="329"/>
      <c r="AU85" s="329"/>
      <c r="AV85" s="329"/>
      <c r="AW85" s="330"/>
      <c r="AX85" s="330"/>
      <c r="AY85" s="330"/>
      <c r="AZ85" s="331"/>
      <c r="BA85" s="331"/>
      <c r="BB85" s="331"/>
      <c r="BC85" s="331"/>
      <c r="BD85" s="331"/>
      <c r="BE85" s="332"/>
      <c r="BF85" s="332"/>
      <c r="BG85" s="332"/>
      <c r="BH85" s="309"/>
      <c r="BI85" s="309"/>
      <c r="BJ85" s="309"/>
      <c r="BK85" s="309"/>
      <c r="BL85" s="309"/>
      <c r="BM85" s="309"/>
      <c r="BN85" s="309"/>
      <c r="BO85" s="309"/>
      <c r="BP85" s="309"/>
      <c r="BQ85" s="309"/>
      <c r="BR85" s="309"/>
      <c r="BS85" s="3"/>
    </row>
    <row r="86" spans="2:71" ht="7.5" customHeight="1">
      <c r="B86" s="16"/>
      <c r="C86" s="321"/>
      <c r="D86" s="321"/>
      <c r="E86" s="321"/>
      <c r="F86" s="321"/>
      <c r="G86" s="308"/>
      <c r="H86" s="308"/>
      <c r="I86" s="308"/>
      <c r="J86" s="308"/>
      <c r="K86" s="324"/>
      <c r="L86" s="324"/>
      <c r="M86" s="324"/>
      <c r="N86" s="324"/>
      <c r="O86" s="309"/>
      <c r="P86" s="309"/>
      <c r="Q86" s="309"/>
      <c r="R86" s="36"/>
      <c r="S86" s="36"/>
      <c r="T86" s="36"/>
      <c r="U86" s="321"/>
      <c r="V86" s="321"/>
      <c r="W86" s="321"/>
      <c r="X86" s="321"/>
      <c r="Y86" s="308"/>
      <c r="Z86" s="308"/>
      <c r="AA86" s="308"/>
      <c r="AB86" s="308"/>
      <c r="AC86" s="324"/>
      <c r="AD86" s="324"/>
      <c r="AE86" s="324"/>
      <c r="AF86" s="324"/>
      <c r="AG86" s="309"/>
      <c r="AH86" s="309"/>
      <c r="AI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
    </row>
    <row r="87" spans="2:71" ht="7.5" customHeight="1">
      <c r="B87" s="36"/>
      <c r="C87" s="2"/>
      <c r="D87" s="2"/>
      <c r="E87" s="2"/>
      <c r="F87" s="2"/>
      <c r="G87" s="36"/>
      <c r="H87" s="36"/>
      <c r="I87" s="36"/>
      <c r="J87" s="36"/>
      <c r="K87" s="2"/>
      <c r="L87" s="2"/>
      <c r="M87" s="2"/>
      <c r="N87" s="2"/>
      <c r="O87" s="36"/>
      <c r="P87" s="36"/>
      <c r="Q87" s="36"/>
      <c r="R87" s="36"/>
      <c r="S87" s="36"/>
      <c r="T87" s="36"/>
      <c r="U87" s="36"/>
      <c r="V87" s="36"/>
      <c r="W87" s="36"/>
      <c r="X87" s="36"/>
      <c r="Y87" s="36"/>
      <c r="Z87" s="36"/>
      <c r="AA87" s="36"/>
      <c r="AB87" s="36"/>
      <c r="AC87" s="36"/>
      <c r="AD87" s="36"/>
      <c r="AE87" s="36"/>
      <c r="AF87" s="36"/>
      <c r="AG87" s="36"/>
      <c r="AH87" s="36"/>
      <c r="AI87" s="36"/>
      <c r="AK87" s="329" t="s">
        <v>188</v>
      </c>
      <c r="AL87" s="329"/>
      <c r="AM87" s="329"/>
      <c r="AN87" s="329"/>
      <c r="AO87" s="329"/>
      <c r="AP87" s="329"/>
      <c r="AQ87" s="329"/>
      <c r="AR87" s="329"/>
      <c r="AS87" s="329"/>
      <c r="AT87" s="329"/>
      <c r="AU87" s="329"/>
      <c r="AV87" s="329"/>
      <c r="AW87" s="208">
        <f>IF(ISNUMBER(AW78),AW78*1.5,"")</f>
        <v>157.82608695652175</v>
      </c>
      <c r="AX87" s="330"/>
      <c r="AY87" s="330"/>
      <c r="AZ87" s="331" t="s">
        <v>71</v>
      </c>
      <c r="BA87" s="331"/>
      <c r="BB87" s="331"/>
      <c r="BC87" s="331"/>
      <c r="BD87" s="331"/>
      <c r="BE87" s="332">
        <f>IF(ISNUMBER(AW87),AW87*0.03527396194958,"")</f>
        <v>5.5671513859554524</v>
      </c>
      <c r="BF87" s="332"/>
      <c r="BG87" s="332"/>
      <c r="BH87" s="309" t="s">
        <v>276</v>
      </c>
      <c r="BI87" s="309"/>
      <c r="BJ87" s="309"/>
      <c r="BK87" s="309"/>
      <c r="BL87" s="309"/>
      <c r="BM87" s="309"/>
      <c r="BN87" s="309"/>
      <c r="BO87" s="309"/>
      <c r="BP87" s="309"/>
      <c r="BQ87" s="309"/>
      <c r="BR87" s="309"/>
      <c r="BS87" s="3"/>
    </row>
    <row r="88" spans="2:71" ht="7.5" customHeight="1">
      <c r="B88" s="16"/>
      <c r="C88" s="323">
        <v>1000</v>
      </c>
      <c r="D88" s="323"/>
      <c r="E88" s="323"/>
      <c r="F88" s="323"/>
      <c r="G88" s="308" t="s">
        <v>66</v>
      </c>
      <c r="H88" s="308"/>
      <c r="I88" s="308"/>
      <c r="J88" s="308"/>
      <c r="K88" s="318">
        <f>IF(ISNUMBER(C88),C88*0.0002199692482991,"")</f>
        <v>0.2199692482991</v>
      </c>
      <c r="L88" s="318"/>
      <c r="M88" s="318"/>
      <c r="N88" s="318"/>
      <c r="O88" s="309" t="s">
        <v>51</v>
      </c>
      <c r="P88" s="309"/>
      <c r="Q88" s="309"/>
      <c r="R88" s="36"/>
      <c r="S88" s="36"/>
      <c r="T88" s="36"/>
      <c r="U88" s="321">
        <v>0.22</v>
      </c>
      <c r="V88" s="321"/>
      <c r="W88" s="321"/>
      <c r="X88" s="321"/>
      <c r="Y88" s="308" t="s">
        <v>293</v>
      </c>
      <c r="Z88" s="308"/>
      <c r="AA88" s="308"/>
      <c r="AB88" s="308"/>
      <c r="AC88" s="208">
        <f>IF(ISNUMBER(U88),U88/0.0002199692482991,"")</f>
        <v>1000.1397999999444</v>
      </c>
      <c r="AD88" s="208"/>
      <c r="AE88" s="208"/>
      <c r="AF88" s="208"/>
      <c r="AG88" s="309" t="s">
        <v>65</v>
      </c>
      <c r="AH88" s="309"/>
      <c r="AI88" s="36"/>
      <c r="AK88" s="329"/>
      <c r="AL88" s="329"/>
      <c r="AM88" s="329"/>
      <c r="AN88" s="329"/>
      <c r="AO88" s="329"/>
      <c r="AP88" s="329"/>
      <c r="AQ88" s="329"/>
      <c r="AR88" s="329"/>
      <c r="AS88" s="329"/>
      <c r="AT88" s="329"/>
      <c r="AU88" s="329"/>
      <c r="AV88" s="329"/>
      <c r="AW88" s="330"/>
      <c r="AX88" s="330"/>
      <c r="AY88" s="330"/>
      <c r="AZ88" s="331"/>
      <c r="BA88" s="331"/>
      <c r="BB88" s="331"/>
      <c r="BC88" s="331"/>
      <c r="BD88" s="331"/>
      <c r="BE88" s="332"/>
      <c r="BF88" s="332"/>
      <c r="BG88" s="332"/>
      <c r="BH88" s="309"/>
      <c r="BI88" s="309"/>
      <c r="BJ88" s="309"/>
      <c r="BK88" s="309"/>
      <c r="BL88" s="309"/>
      <c r="BM88" s="309"/>
      <c r="BN88" s="309"/>
      <c r="BO88" s="309"/>
      <c r="BP88" s="309"/>
      <c r="BQ88" s="309"/>
      <c r="BR88" s="309"/>
      <c r="BS88" s="3"/>
    </row>
    <row r="89" spans="2:71" ht="7.5" customHeight="1">
      <c r="B89" s="16"/>
      <c r="C89" s="323"/>
      <c r="D89" s="323"/>
      <c r="E89" s="323"/>
      <c r="F89" s="323"/>
      <c r="G89" s="308"/>
      <c r="H89" s="308"/>
      <c r="I89" s="308"/>
      <c r="J89" s="308"/>
      <c r="K89" s="318"/>
      <c r="L89" s="318"/>
      <c r="M89" s="318"/>
      <c r="N89" s="318"/>
      <c r="O89" s="309"/>
      <c r="P89" s="309"/>
      <c r="Q89" s="309"/>
      <c r="R89" s="36"/>
      <c r="S89" s="36"/>
      <c r="T89" s="36"/>
      <c r="U89" s="321"/>
      <c r="V89" s="321"/>
      <c r="W89" s="321"/>
      <c r="X89" s="321"/>
      <c r="Y89" s="308"/>
      <c r="Z89" s="308"/>
      <c r="AA89" s="308"/>
      <c r="AB89" s="308"/>
      <c r="AC89" s="208"/>
      <c r="AD89" s="208"/>
      <c r="AE89" s="208"/>
      <c r="AF89" s="208"/>
      <c r="AG89" s="309"/>
      <c r="AH89" s="309"/>
      <c r="AI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
    </row>
    <row r="90" spans="2:71" ht="7.5" customHeight="1">
      <c r="B90" s="36"/>
      <c r="C90" s="2"/>
      <c r="D90" s="2"/>
      <c r="E90" s="2"/>
      <c r="F90" s="2"/>
      <c r="G90" s="36"/>
      <c r="H90" s="36"/>
      <c r="I90" s="36"/>
      <c r="J90" s="36"/>
      <c r="K90" s="2"/>
      <c r="L90" s="2"/>
      <c r="M90" s="2"/>
      <c r="N90" s="2"/>
      <c r="O90" s="36"/>
      <c r="P90" s="36"/>
      <c r="Q90" s="36"/>
      <c r="R90" s="36"/>
      <c r="S90" s="36"/>
      <c r="T90" s="36"/>
      <c r="U90" s="36"/>
      <c r="V90" s="36"/>
      <c r="W90" s="36"/>
      <c r="X90" s="36"/>
      <c r="Y90" s="36"/>
      <c r="Z90" s="36"/>
      <c r="AA90" s="36"/>
      <c r="AB90" s="36"/>
      <c r="AC90" s="36"/>
      <c r="AD90" s="36"/>
      <c r="AE90" s="36"/>
      <c r="AF90" s="36"/>
      <c r="AG90" s="36"/>
      <c r="AH90" s="36"/>
      <c r="AI90" s="36"/>
      <c r="AK90" s="329" t="s">
        <v>188</v>
      </c>
      <c r="AL90" s="329"/>
      <c r="AM90" s="329"/>
      <c r="AN90" s="329"/>
      <c r="AO90" s="329"/>
      <c r="AP90" s="329"/>
      <c r="AQ90" s="329"/>
      <c r="AR90" s="329"/>
      <c r="AS90" s="329"/>
      <c r="AT90" s="329"/>
      <c r="AU90" s="329"/>
      <c r="AV90" s="329"/>
      <c r="AW90" s="208">
        <f>IF(ISNUMBER(AW78),AW78*1.8,"")</f>
        <v>189.3913043478261</v>
      </c>
      <c r="AX90" s="330"/>
      <c r="AY90" s="330"/>
      <c r="AZ90" s="331" t="s">
        <v>71</v>
      </c>
      <c r="BA90" s="331"/>
      <c r="BB90" s="331"/>
      <c r="BC90" s="331"/>
      <c r="BD90" s="331"/>
      <c r="BE90" s="332">
        <f>IF(ISNUMBER(AW90),AW90*0.03527396194958,"")</f>
        <v>6.680581663146542</v>
      </c>
      <c r="BF90" s="332"/>
      <c r="BG90" s="332"/>
      <c r="BH90" s="309" t="s">
        <v>277</v>
      </c>
      <c r="BI90" s="315"/>
      <c r="BJ90" s="315"/>
      <c r="BK90" s="315"/>
      <c r="BL90" s="315"/>
      <c r="BM90" s="315"/>
      <c r="BN90" s="315"/>
      <c r="BO90" s="315"/>
      <c r="BP90" s="315"/>
      <c r="BQ90" s="315"/>
      <c r="BR90" s="17"/>
      <c r="BS90" s="3"/>
    </row>
    <row r="91" spans="2:71" ht="7.5" customHeight="1">
      <c r="B91" s="16"/>
      <c r="C91" s="323">
        <v>1000</v>
      </c>
      <c r="D91" s="323"/>
      <c r="E91" s="323"/>
      <c r="F91" s="323"/>
      <c r="G91" s="308" t="s">
        <v>66</v>
      </c>
      <c r="H91" s="308"/>
      <c r="I91" s="308"/>
      <c r="J91" s="308"/>
      <c r="K91" s="324">
        <f>IF(ISNUMBER(C91),C91*0.0008798769931964,"")</f>
        <v>0.8798769931964</v>
      </c>
      <c r="L91" s="324"/>
      <c r="M91" s="324"/>
      <c r="N91" s="324"/>
      <c r="O91" s="309" t="s">
        <v>256</v>
      </c>
      <c r="P91" s="309"/>
      <c r="Q91" s="309"/>
      <c r="R91" s="36"/>
      <c r="S91" s="36"/>
      <c r="T91" s="36"/>
      <c r="U91" s="321">
        <v>1</v>
      </c>
      <c r="V91" s="321"/>
      <c r="W91" s="321"/>
      <c r="X91" s="321"/>
      <c r="Y91" s="308" t="s">
        <v>290</v>
      </c>
      <c r="Z91" s="308"/>
      <c r="AA91" s="308"/>
      <c r="AB91" s="308"/>
      <c r="AC91" s="208">
        <f>IF(ISNUMBER(U91),U91/0.0008798769931964,"")</f>
        <v>1136.5224999999368</v>
      </c>
      <c r="AD91" s="208"/>
      <c r="AE91" s="208"/>
      <c r="AF91" s="208"/>
      <c r="AG91" s="309" t="s">
        <v>65</v>
      </c>
      <c r="AH91" s="309"/>
      <c r="AI91" s="36"/>
      <c r="AK91" s="329"/>
      <c r="AL91" s="329"/>
      <c r="AM91" s="329"/>
      <c r="AN91" s="329"/>
      <c r="AO91" s="329"/>
      <c r="AP91" s="329"/>
      <c r="AQ91" s="329"/>
      <c r="AR91" s="329"/>
      <c r="AS91" s="329"/>
      <c r="AT91" s="329"/>
      <c r="AU91" s="329"/>
      <c r="AV91" s="329"/>
      <c r="AW91" s="330"/>
      <c r="AX91" s="330"/>
      <c r="AY91" s="330"/>
      <c r="AZ91" s="331"/>
      <c r="BA91" s="331"/>
      <c r="BB91" s="331"/>
      <c r="BC91" s="331"/>
      <c r="BD91" s="331"/>
      <c r="BE91" s="332"/>
      <c r="BF91" s="332"/>
      <c r="BG91" s="332"/>
      <c r="BH91" s="315"/>
      <c r="BI91" s="315"/>
      <c r="BJ91" s="315"/>
      <c r="BK91" s="315"/>
      <c r="BL91" s="315"/>
      <c r="BM91" s="315"/>
      <c r="BN91" s="315"/>
      <c r="BO91" s="315"/>
      <c r="BP91" s="315"/>
      <c r="BQ91" s="315"/>
      <c r="BR91" s="17"/>
      <c r="BS91" s="3"/>
    </row>
    <row r="92" spans="2:71" ht="7.5" customHeight="1">
      <c r="B92" s="16"/>
      <c r="C92" s="323"/>
      <c r="D92" s="323"/>
      <c r="E92" s="323"/>
      <c r="F92" s="323"/>
      <c r="G92" s="308"/>
      <c r="H92" s="308"/>
      <c r="I92" s="308"/>
      <c r="J92" s="308"/>
      <c r="K92" s="324"/>
      <c r="L92" s="324"/>
      <c r="M92" s="324"/>
      <c r="N92" s="324"/>
      <c r="O92" s="309"/>
      <c r="P92" s="309"/>
      <c r="Q92" s="309"/>
      <c r="R92" s="36"/>
      <c r="S92" s="36"/>
      <c r="T92" s="36"/>
      <c r="U92" s="321"/>
      <c r="V92" s="321"/>
      <c r="W92" s="321"/>
      <c r="X92" s="321"/>
      <c r="Y92" s="308"/>
      <c r="Z92" s="308"/>
      <c r="AA92" s="308"/>
      <c r="AB92" s="308"/>
      <c r="AC92" s="208"/>
      <c r="AD92" s="208"/>
      <c r="AE92" s="208"/>
      <c r="AF92" s="208"/>
      <c r="AG92" s="309"/>
      <c r="AH92" s="309"/>
      <c r="AI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
    </row>
    <row r="93" spans="2:71" ht="7.5" customHeight="1">
      <c r="B93" s="36"/>
      <c r="C93" s="2"/>
      <c r="D93" s="2"/>
      <c r="E93" s="2"/>
      <c r="F93" s="2"/>
      <c r="G93" s="36"/>
      <c r="H93" s="36"/>
      <c r="I93" s="36"/>
      <c r="J93" s="36"/>
      <c r="K93" s="2"/>
      <c r="L93" s="2"/>
      <c r="M93" s="2"/>
      <c r="N93" s="2"/>
      <c r="O93" s="36"/>
      <c r="P93" s="36"/>
      <c r="Q93" s="36"/>
      <c r="R93" s="36"/>
      <c r="S93" s="36"/>
      <c r="T93" s="36"/>
      <c r="U93" s="36"/>
      <c r="V93" s="36"/>
      <c r="W93" s="36"/>
      <c r="X93" s="36"/>
      <c r="Y93" s="36"/>
      <c r="Z93" s="36"/>
      <c r="AA93" s="36"/>
      <c r="AB93" s="36"/>
      <c r="AC93" s="36"/>
      <c r="AD93" s="36"/>
      <c r="AE93" s="36"/>
      <c r="AF93" s="36"/>
      <c r="AG93" s="36"/>
      <c r="AH93" s="36"/>
      <c r="AI93" s="36"/>
      <c r="AK93" s="274" t="s">
        <v>280</v>
      </c>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3"/>
    </row>
    <row r="94" spans="2:71" ht="7.5" customHeight="1">
      <c r="B94" s="16"/>
      <c r="C94" s="323">
        <v>1000</v>
      </c>
      <c r="D94" s="323"/>
      <c r="E94" s="323"/>
      <c r="F94" s="323"/>
      <c r="G94" s="308" t="s">
        <v>66</v>
      </c>
      <c r="H94" s="308"/>
      <c r="I94" s="308"/>
      <c r="J94" s="308"/>
      <c r="K94" s="324">
        <f>IF(ISNUMBER(C94),C94*0.001759753986393,"")</f>
        <v>1.759753986393</v>
      </c>
      <c r="L94" s="324"/>
      <c r="M94" s="324"/>
      <c r="N94" s="324"/>
      <c r="O94" s="309" t="s">
        <v>291</v>
      </c>
      <c r="P94" s="309"/>
      <c r="Q94" s="309"/>
      <c r="R94" s="36"/>
      <c r="S94" s="36"/>
      <c r="T94" s="36"/>
      <c r="U94" s="321">
        <v>2</v>
      </c>
      <c r="V94" s="321"/>
      <c r="W94" s="321"/>
      <c r="X94" s="321"/>
      <c r="Y94" s="308" t="s">
        <v>292</v>
      </c>
      <c r="Z94" s="308"/>
      <c r="AA94" s="308"/>
      <c r="AB94" s="308"/>
      <c r="AC94" s="208">
        <f>IF(ISNUMBER(U94),U94/0.001759753986393,"")</f>
        <v>1136.5224999998077</v>
      </c>
      <c r="AD94" s="208"/>
      <c r="AE94" s="208"/>
      <c r="AF94" s="208"/>
      <c r="AG94" s="309" t="s">
        <v>65</v>
      </c>
      <c r="AH94" s="309"/>
      <c r="AI94" s="36"/>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3"/>
    </row>
    <row r="95" spans="2:70" ht="7.5" customHeight="1">
      <c r="B95" s="16"/>
      <c r="C95" s="323"/>
      <c r="D95" s="323"/>
      <c r="E95" s="323"/>
      <c r="F95" s="323"/>
      <c r="G95" s="308"/>
      <c r="H95" s="308"/>
      <c r="I95" s="308"/>
      <c r="J95" s="308"/>
      <c r="K95" s="324"/>
      <c r="L95" s="324"/>
      <c r="M95" s="324"/>
      <c r="N95" s="324"/>
      <c r="O95" s="309"/>
      <c r="P95" s="309"/>
      <c r="Q95" s="309"/>
      <c r="R95" s="36"/>
      <c r="S95" s="36"/>
      <c r="T95" s="36"/>
      <c r="U95" s="321"/>
      <c r="V95" s="321"/>
      <c r="W95" s="321"/>
      <c r="X95" s="321"/>
      <c r="Y95" s="308"/>
      <c r="Z95" s="308"/>
      <c r="AA95" s="308"/>
      <c r="AB95" s="308"/>
      <c r="AC95" s="208"/>
      <c r="AD95" s="208"/>
      <c r="AE95" s="208"/>
      <c r="AF95" s="208"/>
      <c r="AG95" s="309"/>
      <c r="AH95" s="309"/>
      <c r="AI95" s="36"/>
      <c r="AK95" s="274" t="s">
        <v>281</v>
      </c>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row>
    <row r="96" spans="2:70" ht="7.5" customHeight="1">
      <c r="B96" s="36"/>
      <c r="C96" s="2"/>
      <c r="D96" s="2"/>
      <c r="E96" s="2"/>
      <c r="F96" s="2"/>
      <c r="G96" s="36"/>
      <c r="H96" s="36"/>
      <c r="I96" s="36"/>
      <c r="J96" s="36"/>
      <c r="K96" s="2"/>
      <c r="L96" s="2"/>
      <c r="M96" s="2"/>
      <c r="N96" s="2"/>
      <c r="O96" s="36"/>
      <c r="P96" s="36"/>
      <c r="Q96" s="36"/>
      <c r="R96" s="36"/>
      <c r="S96" s="36"/>
      <c r="T96" s="36"/>
      <c r="U96" s="36"/>
      <c r="V96" s="36"/>
      <c r="W96" s="36"/>
      <c r="X96" s="36"/>
      <c r="Y96" s="36"/>
      <c r="Z96" s="36"/>
      <c r="AA96" s="36"/>
      <c r="AB96" s="36"/>
      <c r="AC96" s="36"/>
      <c r="AD96" s="36"/>
      <c r="AE96" s="36"/>
      <c r="AF96" s="36"/>
      <c r="AG96" s="36"/>
      <c r="AH96" s="36"/>
      <c r="AI96" s="36"/>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row>
    <row r="97" spans="2:70" ht="7.5" customHeight="1">
      <c r="B97" s="16"/>
      <c r="C97" s="323">
        <v>1000</v>
      </c>
      <c r="D97" s="323"/>
      <c r="E97" s="323"/>
      <c r="F97" s="323"/>
      <c r="G97" s="308" t="s">
        <v>66</v>
      </c>
      <c r="H97" s="308"/>
      <c r="I97" s="308"/>
      <c r="J97" s="308"/>
      <c r="K97" s="324">
        <f>IF(ISNUMBER(C97),C97*0.03519507972785,"")</f>
        <v>35.19507972785</v>
      </c>
      <c r="L97" s="324"/>
      <c r="M97" s="324"/>
      <c r="N97" s="324"/>
      <c r="O97" s="309" t="s">
        <v>185</v>
      </c>
      <c r="P97" s="309"/>
      <c r="Q97" s="309"/>
      <c r="R97" s="36"/>
      <c r="S97" s="36"/>
      <c r="T97" s="36"/>
      <c r="U97" s="321">
        <v>35</v>
      </c>
      <c r="V97" s="321"/>
      <c r="W97" s="321"/>
      <c r="X97" s="321"/>
      <c r="Y97" s="308" t="s">
        <v>184</v>
      </c>
      <c r="Z97" s="308"/>
      <c r="AA97" s="308"/>
      <c r="AB97" s="308"/>
      <c r="AC97" s="208">
        <f>IF(ISNUMBER(U97),U97/0.03519507972785,"")</f>
        <v>994.4571875001143</v>
      </c>
      <c r="AD97" s="208"/>
      <c r="AE97" s="208"/>
      <c r="AF97" s="208"/>
      <c r="AG97" s="309" t="s">
        <v>65</v>
      </c>
      <c r="AH97" s="309"/>
      <c r="AI97" s="36"/>
      <c r="AK97" s="303" t="s">
        <v>282</v>
      </c>
      <c r="AL97" s="303"/>
      <c r="AM97" s="303"/>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3"/>
      <c r="BR97" s="303"/>
    </row>
    <row r="98" spans="2:70" ht="7.5" customHeight="1">
      <c r="B98" s="16"/>
      <c r="C98" s="323"/>
      <c r="D98" s="323"/>
      <c r="E98" s="323"/>
      <c r="F98" s="323"/>
      <c r="G98" s="308"/>
      <c r="H98" s="308"/>
      <c r="I98" s="308"/>
      <c r="J98" s="308"/>
      <c r="K98" s="324"/>
      <c r="L98" s="324"/>
      <c r="M98" s="324"/>
      <c r="N98" s="324"/>
      <c r="O98" s="309"/>
      <c r="P98" s="309"/>
      <c r="Q98" s="309"/>
      <c r="R98" s="36"/>
      <c r="S98" s="36"/>
      <c r="T98" s="36"/>
      <c r="U98" s="321"/>
      <c r="V98" s="321"/>
      <c r="W98" s="321"/>
      <c r="X98" s="321"/>
      <c r="Y98" s="308"/>
      <c r="Z98" s="308"/>
      <c r="AA98" s="308"/>
      <c r="AB98" s="308"/>
      <c r="AC98" s="208"/>
      <c r="AD98" s="208"/>
      <c r="AE98" s="208"/>
      <c r="AF98" s="208"/>
      <c r="AG98" s="309"/>
      <c r="AH98" s="309"/>
      <c r="AI98" s="36"/>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row>
    <row r="99" spans="2:70" ht="7.5" customHeight="1">
      <c r="B99" s="36"/>
      <c r="C99" s="2"/>
      <c r="D99" s="2"/>
      <c r="E99" s="2"/>
      <c r="F99" s="2"/>
      <c r="G99" s="36"/>
      <c r="H99" s="36"/>
      <c r="I99" s="36"/>
      <c r="J99" s="36"/>
      <c r="K99" s="2"/>
      <c r="L99" s="2"/>
      <c r="M99" s="2"/>
      <c r="N99" s="2"/>
      <c r="O99" s="36"/>
      <c r="P99" s="36"/>
      <c r="Q99" s="36"/>
      <c r="R99" s="36"/>
      <c r="S99" s="36"/>
      <c r="T99" s="36"/>
      <c r="U99" s="36"/>
      <c r="V99" s="36"/>
      <c r="W99" s="36"/>
      <c r="X99" s="36"/>
      <c r="Y99" s="36"/>
      <c r="Z99" s="36"/>
      <c r="AA99" s="36"/>
      <c r="AB99" s="36"/>
      <c r="AC99" s="36"/>
      <c r="AD99" s="36"/>
      <c r="AE99" s="36"/>
      <c r="AF99" s="36"/>
      <c r="AG99" s="36"/>
      <c r="AH99" s="36"/>
      <c r="AI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row>
    <row r="100" spans="2:35" ht="7.5" customHeight="1">
      <c r="B100" s="16"/>
      <c r="C100" s="321">
        <v>1</v>
      </c>
      <c r="D100" s="321"/>
      <c r="E100" s="321"/>
      <c r="F100" s="321"/>
      <c r="G100" s="308" t="s">
        <v>54</v>
      </c>
      <c r="H100" s="308"/>
      <c r="I100" s="308"/>
      <c r="J100" s="308"/>
      <c r="K100" s="324">
        <f>IF(ISNUMBER(C100),C100*4,"")</f>
        <v>4</v>
      </c>
      <c r="L100" s="324"/>
      <c r="M100" s="324"/>
      <c r="N100" s="324"/>
      <c r="O100" s="309" t="s">
        <v>256</v>
      </c>
      <c r="P100" s="309"/>
      <c r="Q100" s="309"/>
      <c r="R100" s="36"/>
      <c r="S100" s="36"/>
      <c r="T100" s="36"/>
      <c r="U100" s="321">
        <v>4</v>
      </c>
      <c r="V100" s="321"/>
      <c r="W100" s="321"/>
      <c r="X100" s="321"/>
      <c r="Y100" s="308" t="s">
        <v>290</v>
      </c>
      <c r="Z100" s="308"/>
      <c r="AA100" s="308"/>
      <c r="AB100" s="308"/>
      <c r="AC100" s="324">
        <f>IF(ISNUMBER(U100),U100/4,"")</f>
        <v>1</v>
      </c>
      <c r="AD100" s="324"/>
      <c r="AE100" s="324"/>
      <c r="AF100" s="324"/>
      <c r="AG100" s="309" t="s">
        <v>51</v>
      </c>
      <c r="AH100" s="309"/>
      <c r="AI100" s="36"/>
    </row>
    <row r="101" spans="2:70" ht="7.5" customHeight="1">
      <c r="B101" s="16"/>
      <c r="C101" s="321"/>
      <c r="D101" s="321"/>
      <c r="E101" s="321"/>
      <c r="F101" s="321"/>
      <c r="G101" s="308"/>
      <c r="H101" s="308"/>
      <c r="I101" s="308"/>
      <c r="J101" s="308"/>
      <c r="K101" s="324"/>
      <c r="L101" s="324"/>
      <c r="M101" s="324"/>
      <c r="N101" s="324"/>
      <c r="O101" s="309"/>
      <c r="P101" s="309"/>
      <c r="Q101" s="309"/>
      <c r="R101" s="36"/>
      <c r="S101" s="36"/>
      <c r="T101" s="36"/>
      <c r="U101" s="321"/>
      <c r="V101" s="321"/>
      <c r="W101" s="321"/>
      <c r="X101" s="321"/>
      <c r="Y101" s="308"/>
      <c r="Z101" s="308"/>
      <c r="AA101" s="308"/>
      <c r="AB101" s="308"/>
      <c r="AC101" s="324"/>
      <c r="AD101" s="324"/>
      <c r="AE101" s="324"/>
      <c r="AF101" s="324"/>
      <c r="AG101" s="309"/>
      <c r="AH101" s="309"/>
      <c r="AI101" s="36"/>
      <c r="AK101" s="319" t="s">
        <v>298</v>
      </c>
      <c r="AL101" s="319"/>
      <c r="AM101" s="319"/>
      <c r="AN101" s="319"/>
      <c r="AO101" s="319"/>
      <c r="AP101" s="319"/>
      <c r="AQ101" s="319"/>
      <c r="AR101" s="319"/>
      <c r="AS101" s="319"/>
      <c r="AT101" s="319"/>
      <c r="AU101" s="319"/>
      <c r="AV101" s="319"/>
      <c r="AW101" s="319"/>
      <c r="AX101" s="319"/>
      <c r="AY101" s="319"/>
      <c r="AZ101" s="319"/>
      <c r="BA101" s="319"/>
      <c r="BB101" s="319"/>
      <c r="BC101" s="319"/>
      <c r="BD101" s="319"/>
      <c r="BE101" s="319"/>
      <c r="BF101" s="319"/>
      <c r="BG101" s="319"/>
      <c r="BH101" s="319"/>
      <c r="BI101" s="319"/>
      <c r="BJ101" s="319"/>
      <c r="BK101" s="319"/>
      <c r="BL101" s="319"/>
      <c r="BM101" s="319"/>
      <c r="BN101" s="319"/>
      <c r="BO101" s="319"/>
      <c r="BP101" s="319"/>
      <c r="BQ101" s="319"/>
      <c r="BR101" s="319"/>
    </row>
    <row r="102" spans="2:70" ht="7.5" customHeight="1">
      <c r="B102" s="36"/>
      <c r="C102" s="2"/>
      <c r="D102" s="2"/>
      <c r="E102" s="2"/>
      <c r="F102" s="2"/>
      <c r="G102" s="36"/>
      <c r="H102" s="36"/>
      <c r="I102" s="36"/>
      <c r="J102" s="36"/>
      <c r="K102" s="2"/>
      <c r="L102" s="2"/>
      <c r="M102" s="2"/>
      <c r="N102" s="2"/>
      <c r="O102" s="36"/>
      <c r="P102" s="36"/>
      <c r="Q102" s="36"/>
      <c r="R102" s="36"/>
      <c r="S102" s="36"/>
      <c r="T102" s="36"/>
      <c r="U102" s="36"/>
      <c r="V102" s="36"/>
      <c r="W102" s="36"/>
      <c r="X102" s="36"/>
      <c r="Y102" s="36"/>
      <c r="Z102" s="36"/>
      <c r="AA102" s="36"/>
      <c r="AB102" s="36"/>
      <c r="AC102" s="36"/>
      <c r="AD102" s="36"/>
      <c r="AE102" s="36"/>
      <c r="AF102" s="36"/>
      <c r="AG102" s="36"/>
      <c r="AH102" s="36"/>
      <c r="AI102" s="36"/>
      <c r="AK102" s="319"/>
      <c r="AL102" s="319"/>
      <c r="AM102" s="319"/>
      <c r="AN102" s="319"/>
      <c r="AO102" s="319"/>
      <c r="AP102" s="319"/>
      <c r="AQ102" s="319"/>
      <c r="AR102" s="319"/>
      <c r="AS102" s="319"/>
      <c r="AT102" s="319"/>
      <c r="AU102" s="319"/>
      <c r="AV102" s="319"/>
      <c r="AW102" s="319"/>
      <c r="AX102" s="319"/>
      <c r="AY102" s="319"/>
      <c r="AZ102" s="319"/>
      <c r="BA102" s="319"/>
      <c r="BB102" s="319"/>
      <c r="BC102" s="319"/>
      <c r="BD102" s="319"/>
      <c r="BE102" s="319"/>
      <c r="BF102" s="319"/>
      <c r="BG102" s="319"/>
      <c r="BH102" s="319"/>
      <c r="BI102" s="319"/>
      <c r="BJ102" s="319"/>
      <c r="BK102" s="319"/>
      <c r="BL102" s="319"/>
      <c r="BM102" s="319"/>
      <c r="BN102" s="319"/>
      <c r="BO102" s="319"/>
      <c r="BP102" s="319"/>
      <c r="BQ102" s="319"/>
      <c r="BR102" s="319"/>
    </row>
    <row r="103" spans="2:70" ht="7.5" customHeight="1">
      <c r="B103" s="16"/>
      <c r="C103" s="321">
        <v>1</v>
      </c>
      <c r="D103" s="321"/>
      <c r="E103" s="321"/>
      <c r="F103" s="321"/>
      <c r="G103" s="308" t="s">
        <v>54</v>
      </c>
      <c r="H103" s="308"/>
      <c r="I103" s="308"/>
      <c r="J103" s="308"/>
      <c r="K103" s="324">
        <f>IF(ISNUMBER(C103),C103*8,"")</f>
        <v>8</v>
      </c>
      <c r="L103" s="324"/>
      <c r="M103" s="324"/>
      <c r="N103" s="324"/>
      <c r="O103" s="309" t="s">
        <v>291</v>
      </c>
      <c r="P103" s="309"/>
      <c r="Q103" s="309"/>
      <c r="R103" s="36"/>
      <c r="S103" s="36"/>
      <c r="T103" s="36"/>
      <c r="U103" s="321">
        <v>8</v>
      </c>
      <c r="V103" s="321"/>
      <c r="W103" s="321"/>
      <c r="X103" s="321"/>
      <c r="Y103" s="308" t="s">
        <v>292</v>
      </c>
      <c r="Z103" s="308"/>
      <c r="AA103" s="308"/>
      <c r="AB103" s="308"/>
      <c r="AC103" s="324">
        <f>IF(ISNUMBER(U103),U103/8,"")</f>
        <v>1</v>
      </c>
      <c r="AD103" s="324"/>
      <c r="AE103" s="324"/>
      <c r="AF103" s="324"/>
      <c r="AG103" s="309" t="s">
        <v>51</v>
      </c>
      <c r="AH103" s="309"/>
      <c r="AI103" s="36"/>
      <c r="BC103" s="37"/>
      <c r="BD103" s="37"/>
      <c r="BE103" s="37"/>
      <c r="BF103" s="37"/>
      <c r="BK103" s="37"/>
      <c r="BL103" s="37"/>
      <c r="BM103" s="37"/>
      <c r="BN103" s="37"/>
      <c r="BR103" s="3"/>
    </row>
    <row r="104" spans="2:70" ht="7.5" customHeight="1">
      <c r="B104" s="16"/>
      <c r="C104" s="321"/>
      <c r="D104" s="321"/>
      <c r="E104" s="321"/>
      <c r="F104" s="321"/>
      <c r="G104" s="308"/>
      <c r="H104" s="308"/>
      <c r="I104" s="308"/>
      <c r="J104" s="308"/>
      <c r="K104" s="324"/>
      <c r="L104" s="324"/>
      <c r="M104" s="324"/>
      <c r="N104" s="324"/>
      <c r="O104" s="309"/>
      <c r="P104" s="309"/>
      <c r="Q104" s="309"/>
      <c r="R104" s="36"/>
      <c r="S104" s="36"/>
      <c r="T104" s="36"/>
      <c r="U104" s="321"/>
      <c r="V104" s="321"/>
      <c r="W104" s="321"/>
      <c r="X104" s="321"/>
      <c r="Y104" s="308"/>
      <c r="Z104" s="308"/>
      <c r="AA104" s="308"/>
      <c r="AB104" s="308"/>
      <c r="AC104" s="324"/>
      <c r="AD104" s="324"/>
      <c r="AE104" s="324"/>
      <c r="AF104" s="324"/>
      <c r="AG104" s="309"/>
      <c r="AH104" s="309"/>
      <c r="AI104" s="36"/>
      <c r="AK104" s="274" t="s">
        <v>299</v>
      </c>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row>
    <row r="105" spans="2:70" ht="7.5" customHeight="1">
      <c r="B105" s="36"/>
      <c r="C105" s="2"/>
      <c r="D105" s="2"/>
      <c r="E105" s="2"/>
      <c r="F105" s="2"/>
      <c r="G105" s="36"/>
      <c r="H105" s="36"/>
      <c r="I105" s="36"/>
      <c r="J105" s="36"/>
      <c r="K105" s="2"/>
      <c r="L105" s="2"/>
      <c r="M105" s="2"/>
      <c r="N105" s="2"/>
      <c r="O105" s="36"/>
      <c r="P105" s="36"/>
      <c r="Q105" s="36"/>
      <c r="R105" s="36"/>
      <c r="S105" s="36"/>
      <c r="T105" s="36"/>
      <c r="U105" s="36"/>
      <c r="V105" s="36"/>
      <c r="W105" s="36"/>
      <c r="X105" s="36"/>
      <c r="Y105" s="36"/>
      <c r="Z105" s="36"/>
      <c r="AA105" s="36"/>
      <c r="AB105" s="36"/>
      <c r="AC105" s="36"/>
      <c r="AD105" s="36"/>
      <c r="AE105" s="36"/>
      <c r="AF105" s="36"/>
      <c r="AG105" s="36"/>
      <c r="AH105" s="36"/>
      <c r="AI105" s="36"/>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row>
    <row r="106" spans="2:70" ht="7.5" customHeight="1">
      <c r="B106" s="16"/>
      <c r="C106" s="321">
        <v>1</v>
      </c>
      <c r="D106" s="321"/>
      <c r="E106" s="321"/>
      <c r="F106" s="321"/>
      <c r="G106" s="308" t="s">
        <v>54</v>
      </c>
      <c r="H106" s="308"/>
      <c r="I106" s="308"/>
      <c r="J106" s="308"/>
      <c r="K106" s="208">
        <f>IF(ISNUMBER(C106),C106*160,"")</f>
        <v>160</v>
      </c>
      <c r="L106" s="208"/>
      <c r="M106" s="208"/>
      <c r="N106" s="208"/>
      <c r="O106" s="309" t="s">
        <v>185</v>
      </c>
      <c r="P106" s="309"/>
      <c r="Q106" s="309"/>
      <c r="R106" s="36"/>
      <c r="S106" s="36"/>
      <c r="T106" s="36"/>
      <c r="U106" s="323">
        <v>160</v>
      </c>
      <c r="V106" s="323"/>
      <c r="W106" s="323"/>
      <c r="X106" s="323"/>
      <c r="Y106" s="308" t="s">
        <v>184</v>
      </c>
      <c r="Z106" s="308"/>
      <c r="AA106" s="308"/>
      <c r="AB106" s="308"/>
      <c r="AC106" s="324">
        <f>IF(ISNUMBER(U106),U106/160,"")</f>
        <v>1</v>
      </c>
      <c r="AD106" s="324"/>
      <c r="AE106" s="324"/>
      <c r="AF106" s="324"/>
      <c r="AG106" s="309" t="s">
        <v>51</v>
      </c>
      <c r="AH106" s="309"/>
      <c r="AI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row>
    <row r="107" spans="2:70" ht="7.5" customHeight="1">
      <c r="B107" s="16"/>
      <c r="C107" s="321"/>
      <c r="D107" s="321"/>
      <c r="E107" s="321"/>
      <c r="F107" s="321"/>
      <c r="G107" s="308"/>
      <c r="H107" s="308"/>
      <c r="I107" s="308"/>
      <c r="J107" s="308"/>
      <c r="K107" s="208"/>
      <c r="L107" s="208"/>
      <c r="M107" s="208"/>
      <c r="N107" s="208"/>
      <c r="O107" s="309"/>
      <c r="P107" s="309"/>
      <c r="Q107" s="309"/>
      <c r="R107" s="36"/>
      <c r="S107" s="36"/>
      <c r="T107" s="36"/>
      <c r="U107" s="323"/>
      <c r="V107" s="323"/>
      <c r="W107" s="323"/>
      <c r="X107" s="323"/>
      <c r="Y107" s="308"/>
      <c r="Z107" s="308"/>
      <c r="AA107" s="308"/>
      <c r="AB107" s="308"/>
      <c r="AC107" s="324"/>
      <c r="AD107" s="324"/>
      <c r="AE107" s="324"/>
      <c r="AF107" s="324"/>
      <c r="AG107" s="309"/>
      <c r="AH107" s="309"/>
      <c r="AI107" s="36"/>
      <c r="AK107" s="16"/>
      <c r="AL107" s="321">
        <v>5</v>
      </c>
      <c r="AM107" s="321"/>
      <c r="AN107" s="321"/>
      <c r="AO107" s="321"/>
      <c r="AP107" s="308" t="s">
        <v>259</v>
      </c>
      <c r="AQ107" s="308"/>
      <c r="AR107" s="308"/>
      <c r="AS107" s="308"/>
      <c r="AT107" s="324">
        <f>IF(ISNUMBER(AL107),AL107*0.479305709,"")</f>
        <v>2.3965285450000002</v>
      </c>
      <c r="AU107" s="324"/>
      <c r="AV107" s="324"/>
      <c r="AW107" s="324"/>
      <c r="AX107" s="345" t="s">
        <v>266</v>
      </c>
      <c r="AY107" s="344"/>
      <c r="AZ107" s="344"/>
      <c r="BA107" s="36"/>
      <c r="BB107" s="16"/>
      <c r="BC107" s="321">
        <v>2.5</v>
      </c>
      <c r="BD107" s="321"/>
      <c r="BE107" s="321"/>
      <c r="BF107" s="321"/>
      <c r="BG107" s="308" t="s">
        <v>266</v>
      </c>
      <c r="BH107" s="308"/>
      <c r="BI107" s="308"/>
      <c r="BJ107" s="308"/>
      <c r="BK107" s="324">
        <f>IF(ISNUMBER(BC107),BC107/0.479305709,"")</f>
        <v>5.2158777854239995</v>
      </c>
      <c r="BL107" s="324"/>
      <c r="BM107" s="324"/>
      <c r="BN107" s="324"/>
      <c r="BO107" s="309" t="s">
        <v>258</v>
      </c>
      <c r="BP107" s="309"/>
      <c r="BQ107" s="309"/>
      <c r="BR107" s="36"/>
    </row>
    <row r="108" spans="2:70" ht="7.5" customHeight="1">
      <c r="B108" s="36"/>
      <c r="C108" s="2"/>
      <c r="D108" s="2"/>
      <c r="E108" s="2"/>
      <c r="F108" s="2"/>
      <c r="G108" s="36"/>
      <c r="H108" s="36"/>
      <c r="I108" s="36"/>
      <c r="J108" s="36"/>
      <c r="K108" s="2"/>
      <c r="L108" s="2"/>
      <c r="M108" s="2"/>
      <c r="N108" s="2"/>
      <c r="O108" s="36"/>
      <c r="P108" s="36"/>
      <c r="Q108" s="36"/>
      <c r="R108" s="36"/>
      <c r="S108" s="36"/>
      <c r="T108" s="36"/>
      <c r="U108" s="36"/>
      <c r="V108" s="36"/>
      <c r="W108" s="36"/>
      <c r="X108" s="36"/>
      <c r="Y108" s="36"/>
      <c r="Z108" s="36"/>
      <c r="AA108" s="36"/>
      <c r="AB108" s="36"/>
      <c r="AC108" s="36"/>
      <c r="AD108" s="36"/>
      <c r="AE108" s="36"/>
      <c r="AF108" s="36"/>
      <c r="AG108" s="36"/>
      <c r="AH108" s="36"/>
      <c r="AI108" s="36"/>
      <c r="AK108" s="16"/>
      <c r="AL108" s="321"/>
      <c r="AM108" s="321"/>
      <c r="AN108" s="321"/>
      <c r="AO108" s="321"/>
      <c r="AP108" s="308"/>
      <c r="AQ108" s="308"/>
      <c r="AR108" s="308"/>
      <c r="AS108" s="308"/>
      <c r="AT108" s="324"/>
      <c r="AU108" s="324"/>
      <c r="AV108" s="324"/>
      <c r="AW108" s="324"/>
      <c r="AX108" s="344"/>
      <c r="AY108" s="344"/>
      <c r="AZ108" s="344"/>
      <c r="BA108" s="36"/>
      <c r="BB108" s="16"/>
      <c r="BC108" s="321"/>
      <c r="BD108" s="321"/>
      <c r="BE108" s="321"/>
      <c r="BF108" s="321"/>
      <c r="BG108" s="308"/>
      <c r="BH108" s="308"/>
      <c r="BI108" s="308"/>
      <c r="BJ108" s="308"/>
      <c r="BK108" s="324"/>
      <c r="BL108" s="324"/>
      <c r="BM108" s="324"/>
      <c r="BN108" s="324"/>
      <c r="BO108" s="309"/>
      <c r="BP108" s="309"/>
      <c r="BQ108" s="309"/>
      <c r="BR108" s="16"/>
    </row>
    <row r="109" spans="2:70" ht="7.5" customHeight="1">
      <c r="B109" s="16"/>
      <c r="C109" s="321">
        <v>4</v>
      </c>
      <c r="D109" s="321"/>
      <c r="E109" s="321"/>
      <c r="F109" s="321"/>
      <c r="G109" s="308" t="s">
        <v>257</v>
      </c>
      <c r="H109" s="308"/>
      <c r="I109" s="308"/>
      <c r="J109" s="308"/>
      <c r="K109" s="324">
        <f>IF(ISNUMBER(C109),C109*2,"")</f>
        <v>8</v>
      </c>
      <c r="L109" s="324"/>
      <c r="M109" s="324"/>
      <c r="N109" s="324"/>
      <c r="O109" s="309" t="s">
        <v>291</v>
      </c>
      <c r="P109" s="309"/>
      <c r="Q109" s="309"/>
      <c r="R109" s="36"/>
      <c r="S109" s="36"/>
      <c r="T109" s="36"/>
      <c r="U109" s="321">
        <v>8</v>
      </c>
      <c r="V109" s="321"/>
      <c r="W109" s="321"/>
      <c r="X109" s="321"/>
      <c r="Y109" s="308" t="s">
        <v>292</v>
      </c>
      <c r="Z109" s="308"/>
      <c r="AA109" s="308"/>
      <c r="AB109" s="308"/>
      <c r="AC109" s="324">
        <f>IF(ISNUMBER(U109),U109/2,"")</f>
        <v>4</v>
      </c>
      <c r="AD109" s="324"/>
      <c r="AE109" s="324"/>
      <c r="AF109" s="324"/>
      <c r="AG109" s="309" t="s">
        <v>256</v>
      </c>
      <c r="AH109" s="309"/>
      <c r="AI109" s="36"/>
      <c r="AK109" s="36"/>
      <c r="AL109" s="2"/>
      <c r="AM109" s="2"/>
      <c r="AN109" s="2"/>
      <c r="AO109" s="2"/>
      <c r="AP109" s="36"/>
      <c r="AQ109" s="36"/>
      <c r="AR109" s="36"/>
      <c r="AS109" s="36"/>
      <c r="AT109" s="2"/>
      <c r="AU109" s="2"/>
      <c r="AV109" s="2"/>
      <c r="AW109" s="2"/>
      <c r="AX109" s="36"/>
      <c r="AY109" s="36"/>
      <c r="AZ109" s="36"/>
      <c r="BA109" s="36"/>
      <c r="BB109" s="36"/>
      <c r="BC109" s="16"/>
      <c r="BD109" s="110"/>
      <c r="BE109" s="110"/>
      <c r="BF109" s="110"/>
      <c r="BG109" s="110"/>
      <c r="BH109" s="16"/>
      <c r="BI109" s="16"/>
      <c r="BJ109" s="16"/>
      <c r="BK109" s="16"/>
      <c r="BL109" s="4"/>
      <c r="BM109" s="4"/>
      <c r="BN109" s="4"/>
      <c r="BO109" s="4"/>
      <c r="BP109" s="16"/>
      <c r="BQ109" s="16"/>
      <c r="BR109" s="16"/>
    </row>
    <row r="110" spans="2:35" ht="7.5" customHeight="1">
      <c r="B110" s="16"/>
      <c r="C110" s="321"/>
      <c r="D110" s="321"/>
      <c r="E110" s="321"/>
      <c r="F110" s="321"/>
      <c r="G110" s="308"/>
      <c r="H110" s="308"/>
      <c r="I110" s="308"/>
      <c r="J110" s="308"/>
      <c r="K110" s="324"/>
      <c r="L110" s="324"/>
      <c r="M110" s="324"/>
      <c r="N110" s="324"/>
      <c r="O110" s="309"/>
      <c r="P110" s="309"/>
      <c r="Q110" s="309"/>
      <c r="R110" s="36"/>
      <c r="S110" s="36"/>
      <c r="T110" s="36"/>
      <c r="U110" s="321"/>
      <c r="V110" s="321"/>
      <c r="W110" s="321"/>
      <c r="X110" s="321"/>
      <c r="Y110" s="308"/>
      <c r="Z110" s="308"/>
      <c r="AA110" s="308"/>
      <c r="AB110" s="308"/>
      <c r="AC110" s="324"/>
      <c r="AD110" s="324"/>
      <c r="AE110" s="324"/>
      <c r="AF110" s="324"/>
      <c r="AG110" s="309"/>
      <c r="AH110" s="309"/>
      <c r="AI110" s="36"/>
    </row>
    <row r="111" spans="2:70" ht="7.5" customHeight="1">
      <c r="B111" s="36"/>
      <c r="C111" s="2"/>
      <c r="D111" s="2"/>
      <c r="E111" s="2"/>
      <c r="F111" s="2"/>
      <c r="G111" s="36"/>
      <c r="H111" s="36"/>
      <c r="I111" s="36"/>
      <c r="J111" s="36"/>
      <c r="K111" s="2"/>
      <c r="L111" s="2"/>
      <c r="M111" s="2"/>
      <c r="N111" s="2"/>
      <c r="O111" s="36"/>
      <c r="P111" s="36"/>
      <c r="Q111" s="36"/>
      <c r="R111" s="36"/>
      <c r="S111" s="36"/>
      <c r="T111" s="36"/>
      <c r="U111" s="36"/>
      <c r="V111" s="36"/>
      <c r="W111" s="36"/>
      <c r="X111" s="36"/>
      <c r="Y111" s="36"/>
      <c r="Z111" s="36"/>
      <c r="AA111" s="36"/>
      <c r="AB111" s="36"/>
      <c r="AC111" s="36"/>
      <c r="AD111" s="36"/>
      <c r="AE111" s="36"/>
      <c r="AF111" s="36"/>
      <c r="AG111" s="36"/>
      <c r="AH111" s="36"/>
      <c r="AI111" s="36"/>
      <c r="AK111" s="274" t="s">
        <v>301</v>
      </c>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row>
    <row r="112" spans="2:70" ht="7.5" customHeight="1">
      <c r="B112" s="16"/>
      <c r="C112" s="323">
        <v>1</v>
      </c>
      <c r="D112" s="323"/>
      <c r="E112" s="323"/>
      <c r="F112" s="323"/>
      <c r="G112" s="308" t="s">
        <v>257</v>
      </c>
      <c r="H112" s="308"/>
      <c r="I112" s="308"/>
      <c r="J112" s="308"/>
      <c r="K112" s="324">
        <f>IF(ISNUMBER(C112),C112*40,"")</f>
        <v>40</v>
      </c>
      <c r="L112" s="324"/>
      <c r="M112" s="324"/>
      <c r="N112" s="324"/>
      <c r="O112" s="309" t="s">
        <v>185</v>
      </c>
      <c r="P112" s="309"/>
      <c r="Q112" s="309"/>
      <c r="R112" s="36"/>
      <c r="S112" s="36"/>
      <c r="T112" s="36"/>
      <c r="U112" s="321">
        <v>40</v>
      </c>
      <c r="V112" s="321"/>
      <c r="W112" s="321"/>
      <c r="X112" s="321"/>
      <c r="Y112" s="308" t="s">
        <v>184</v>
      </c>
      <c r="Z112" s="308"/>
      <c r="AA112" s="308"/>
      <c r="AB112" s="308"/>
      <c r="AC112" s="324">
        <f>IF(ISNUMBER(U112),U112/40,"")</f>
        <v>1</v>
      </c>
      <c r="AD112" s="324"/>
      <c r="AE112" s="324"/>
      <c r="AF112" s="324"/>
      <c r="AG112" s="309" t="s">
        <v>256</v>
      </c>
      <c r="AH112" s="309"/>
      <c r="AI112" s="36"/>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row>
    <row r="113" spans="2:70" ht="7.5" customHeight="1">
      <c r="B113" s="16"/>
      <c r="C113" s="323"/>
      <c r="D113" s="323"/>
      <c r="E113" s="323"/>
      <c r="F113" s="323"/>
      <c r="G113" s="308"/>
      <c r="H113" s="308"/>
      <c r="I113" s="308"/>
      <c r="J113" s="308"/>
      <c r="K113" s="324"/>
      <c r="L113" s="324"/>
      <c r="M113" s="324"/>
      <c r="N113" s="324"/>
      <c r="O113" s="309"/>
      <c r="P113" s="309"/>
      <c r="Q113" s="309"/>
      <c r="R113" s="36"/>
      <c r="S113" s="36"/>
      <c r="T113" s="36"/>
      <c r="U113" s="321"/>
      <c r="V113" s="321"/>
      <c r="W113" s="321"/>
      <c r="X113" s="321"/>
      <c r="Y113" s="308"/>
      <c r="Z113" s="308"/>
      <c r="AA113" s="308"/>
      <c r="AB113" s="308"/>
      <c r="AC113" s="324"/>
      <c r="AD113" s="324"/>
      <c r="AE113" s="324"/>
      <c r="AF113" s="324"/>
      <c r="AG113" s="309"/>
      <c r="AH113" s="309"/>
      <c r="AI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row>
    <row r="114" spans="2:70" ht="7.5" customHeight="1">
      <c r="B114" s="36"/>
      <c r="C114" s="2"/>
      <c r="D114" s="2"/>
      <c r="E114" s="2"/>
      <c r="F114" s="2"/>
      <c r="G114" s="36"/>
      <c r="H114" s="36"/>
      <c r="I114" s="36"/>
      <c r="J114" s="36"/>
      <c r="K114" s="2"/>
      <c r="L114" s="2"/>
      <c r="M114" s="2"/>
      <c r="N114" s="2"/>
      <c r="O114" s="36"/>
      <c r="P114" s="36"/>
      <c r="Q114" s="36"/>
      <c r="R114" s="36"/>
      <c r="S114" s="36"/>
      <c r="T114" s="36"/>
      <c r="U114" s="36"/>
      <c r="V114" s="36"/>
      <c r="W114" s="36"/>
      <c r="X114" s="36"/>
      <c r="Y114" s="36"/>
      <c r="Z114" s="36"/>
      <c r="AA114" s="36"/>
      <c r="AB114" s="36"/>
      <c r="AC114" s="2"/>
      <c r="AD114" s="2"/>
      <c r="AE114" s="2"/>
      <c r="AF114" s="2"/>
      <c r="AG114" s="36"/>
      <c r="AH114" s="36"/>
      <c r="AI114" s="36"/>
      <c r="AK114" s="16"/>
      <c r="AL114" s="321">
        <v>5</v>
      </c>
      <c r="AM114" s="321"/>
      <c r="AN114" s="321"/>
      <c r="AO114" s="321"/>
      <c r="AP114" s="308" t="s">
        <v>259</v>
      </c>
      <c r="AQ114" s="308"/>
      <c r="AR114" s="308"/>
      <c r="AS114" s="308"/>
      <c r="AT114" s="324">
        <f>IF(ISNUMBER(AL114),AL114*0.399105326,"")</f>
        <v>1.9955266299999999</v>
      </c>
      <c r="AU114" s="324"/>
      <c r="AV114" s="324"/>
      <c r="AW114" s="324"/>
      <c r="AX114" s="343" t="s">
        <v>265</v>
      </c>
      <c r="AY114" s="344"/>
      <c r="AZ114" s="344"/>
      <c r="BA114" s="36"/>
      <c r="BB114" s="16"/>
      <c r="BC114" s="321">
        <v>2</v>
      </c>
      <c r="BD114" s="321"/>
      <c r="BE114" s="321"/>
      <c r="BF114" s="321"/>
      <c r="BG114" s="308" t="s">
        <v>266</v>
      </c>
      <c r="BH114" s="308"/>
      <c r="BI114" s="308"/>
      <c r="BJ114" s="308"/>
      <c r="BK114" s="324">
        <f>IF(ISNUMBER(BC114),BC114/0.399105326,"")</f>
        <v>5.011208494872354</v>
      </c>
      <c r="BL114" s="324"/>
      <c r="BM114" s="324"/>
      <c r="BN114" s="324"/>
      <c r="BO114" s="309" t="s">
        <v>258</v>
      </c>
      <c r="BP114" s="309"/>
      <c r="BQ114" s="309"/>
      <c r="BR114" s="36"/>
    </row>
    <row r="115" spans="2:70" ht="7.5" customHeight="1">
      <c r="B115" s="16"/>
      <c r="C115" s="323">
        <v>8</v>
      </c>
      <c r="D115" s="323"/>
      <c r="E115" s="323"/>
      <c r="F115" s="323"/>
      <c r="G115" s="308" t="s">
        <v>294</v>
      </c>
      <c r="H115" s="308"/>
      <c r="I115" s="308"/>
      <c r="J115" s="308"/>
      <c r="K115" s="324">
        <f>IF(ISNUMBER(C115),C115*20,"")</f>
        <v>160</v>
      </c>
      <c r="L115" s="324"/>
      <c r="M115" s="324"/>
      <c r="N115" s="324"/>
      <c r="O115" s="309" t="s">
        <v>185</v>
      </c>
      <c r="P115" s="309"/>
      <c r="Q115" s="309"/>
      <c r="R115" s="36"/>
      <c r="S115" s="36"/>
      <c r="T115" s="36"/>
      <c r="U115" s="321">
        <v>160</v>
      </c>
      <c r="V115" s="321"/>
      <c r="W115" s="321"/>
      <c r="X115" s="321"/>
      <c r="Y115" s="308" t="s">
        <v>184</v>
      </c>
      <c r="Z115" s="308"/>
      <c r="AA115" s="308"/>
      <c r="AB115" s="308"/>
      <c r="AC115" s="324">
        <f>IF(ISNUMBER(U115),U115/20,"")</f>
        <v>8</v>
      </c>
      <c r="AD115" s="324"/>
      <c r="AE115" s="324"/>
      <c r="AF115" s="324"/>
      <c r="AG115" s="309" t="s">
        <v>291</v>
      </c>
      <c r="AH115" s="309"/>
      <c r="AI115" s="36"/>
      <c r="AK115" s="16"/>
      <c r="AL115" s="321"/>
      <c r="AM115" s="321"/>
      <c r="AN115" s="321"/>
      <c r="AO115" s="321"/>
      <c r="AP115" s="308"/>
      <c r="AQ115" s="308"/>
      <c r="AR115" s="308"/>
      <c r="AS115" s="308"/>
      <c r="AT115" s="324"/>
      <c r="AU115" s="324"/>
      <c r="AV115" s="324"/>
      <c r="AW115" s="324"/>
      <c r="AX115" s="344"/>
      <c r="AY115" s="344"/>
      <c r="AZ115" s="344"/>
      <c r="BA115" s="36"/>
      <c r="BB115" s="16"/>
      <c r="BC115" s="321"/>
      <c r="BD115" s="321"/>
      <c r="BE115" s="321"/>
      <c r="BF115" s="321"/>
      <c r="BG115" s="308"/>
      <c r="BH115" s="308"/>
      <c r="BI115" s="308"/>
      <c r="BJ115" s="308"/>
      <c r="BK115" s="324"/>
      <c r="BL115" s="324"/>
      <c r="BM115" s="324"/>
      <c r="BN115" s="324"/>
      <c r="BO115" s="309"/>
      <c r="BP115" s="309"/>
      <c r="BQ115" s="309"/>
      <c r="BR115" s="16"/>
    </row>
    <row r="116" spans="2:70" ht="7.5" customHeight="1">
      <c r="B116" s="16"/>
      <c r="C116" s="323"/>
      <c r="D116" s="323"/>
      <c r="E116" s="323"/>
      <c r="F116" s="323"/>
      <c r="G116" s="308"/>
      <c r="H116" s="308"/>
      <c r="I116" s="308"/>
      <c r="J116" s="308"/>
      <c r="K116" s="324"/>
      <c r="L116" s="324"/>
      <c r="M116" s="324"/>
      <c r="N116" s="324"/>
      <c r="O116" s="309"/>
      <c r="P116" s="309"/>
      <c r="Q116" s="309"/>
      <c r="R116" s="36"/>
      <c r="S116" s="36"/>
      <c r="T116" s="36"/>
      <c r="U116" s="321"/>
      <c r="V116" s="321"/>
      <c r="W116" s="321"/>
      <c r="X116" s="321"/>
      <c r="Y116" s="308"/>
      <c r="Z116" s="308"/>
      <c r="AA116" s="308"/>
      <c r="AB116" s="308"/>
      <c r="AC116" s="324"/>
      <c r="AD116" s="324"/>
      <c r="AE116" s="324"/>
      <c r="AF116" s="324"/>
      <c r="AG116" s="309"/>
      <c r="AH116" s="309"/>
      <c r="AI116" s="36"/>
      <c r="AK116" s="36"/>
      <c r="AL116" s="2"/>
      <c r="AM116" s="2"/>
      <c r="AN116" s="2"/>
      <c r="AO116" s="2"/>
      <c r="AP116" s="36"/>
      <c r="AQ116" s="36"/>
      <c r="AR116" s="36"/>
      <c r="AS116" s="36"/>
      <c r="AT116" s="2"/>
      <c r="AU116" s="2"/>
      <c r="AV116" s="2"/>
      <c r="AW116" s="2"/>
      <c r="AX116" s="36"/>
      <c r="AY116" s="36"/>
      <c r="AZ116" s="36"/>
      <c r="BA116" s="36"/>
      <c r="BB116" s="36"/>
      <c r="BC116" s="16"/>
      <c r="BD116" s="110"/>
      <c r="BE116" s="110"/>
      <c r="BF116" s="110"/>
      <c r="BG116" s="110"/>
      <c r="BH116" s="16"/>
      <c r="BI116" s="16"/>
      <c r="BJ116" s="16"/>
      <c r="BK116" s="16"/>
      <c r="BL116" s="4"/>
      <c r="BM116" s="4"/>
      <c r="BN116" s="4"/>
      <c r="BO116" s="4"/>
      <c r="BP116" s="16"/>
      <c r="BQ116" s="16"/>
      <c r="BR116" s="16"/>
    </row>
    <row r="117" spans="2:70" ht="7.5" customHeight="1">
      <c r="B117" s="36"/>
      <c r="C117" s="2"/>
      <c r="D117" s="2"/>
      <c r="E117" s="2"/>
      <c r="F117" s="2"/>
      <c r="G117" s="36"/>
      <c r="H117" s="36"/>
      <c r="I117" s="36"/>
      <c r="J117" s="36"/>
      <c r="K117" s="2"/>
      <c r="L117" s="2"/>
      <c r="M117" s="2"/>
      <c r="N117" s="2"/>
      <c r="O117" s="36"/>
      <c r="P117" s="36"/>
      <c r="Q117" s="36"/>
      <c r="R117" s="36"/>
      <c r="S117" s="36"/>
      <c r="T117" s="36"/>
      <c r="U117" s="36"/>
      <c r="V117" s="36"/>
      <c r="W117" s="36"/>
      <c r="X117" s="36"/>
      <c r="Y117" s="36"/>
      <c r="Z117" s="36"/>
      <c r="AA117" s="36"/>
      <c r="AB117" s="36"/>
      <c r="AC117" s="36"/>
      <c r="AD117" s="36"/>
      <c r="AE117" s="36"/>
      <c r="AF117" s="36"/>
      <c r="AG117" s="36"/>
      <c r="AH117" s="36"/>
      <c r="AI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row>
    <row r="118" ht="7.5" customHeight="1"/>
    <row r="119" spans="2:70" ht="7.5" customHeight="1">
      <c r="B119" s="319" t="s">
        <v>369</v>
      </c>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19"/>
      <c r="AZ119" s="319"/>
      <c r="BA119" s="319"/>
      <c r="BB119" s="319"/>
      <c r="BC119" s="319"/>
      <c r="BD119" s="319"/>
      <c r="BE119" s="319"/>
      <c r="BF119" s="319"/>
      <c r="BG119" s="319"/>
      <c r="BH119" s="319"/>
      <c r="BI119" s="319"/>
      <c r="BJ119" s="319"/>
      <c r="BK119" s="319"/>
      <c r="BL119" s="319"/>
      <c r="BM119" s="319"/>
      <c r="BN119" s="319"/>
      <c r="BO119" s="319"/>
      <c r="BP119" s="319"/>
      <c r="BQ119" s="319"/>
      <c r="BR119" s="319"/>
    </row>
    <row r="120" spans="2:70" ht="7.5" customHeight="1">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9"/>
      <c r="AR120" s="319"/>
      <c r="AS120" s="319"/>
      <c r="AT120" s="319"/>
      <c r="AU120" s="319"/>
      <c r="AV120" s="319"/>
      <c r="AW120" s="319"/>
      <c r="AX120" s="319"/>
      <c r="AY120" s="319"/>
      <c r="AZ120" s="319"/>
      <c r="BA120" s="319"/>
      <c r="BB120" s="319"/>
      <c r="BC120" s="319"/>
      <c r="BD120" s="319"/>
      <c r="BE120" s="319"/>
      <c r="BF120" s="319"/>
      <c r="BG120" s="319"/>
      <c r="BH120" s="319"/>
      <c r="BI120" s="319"/>
      <c r="BJ120" s="319"/>
      <c r="BK120" s="319"/>
      <c r="BL120" s="319"/>
      <c r="BM120" s="319"/>
      <c r="BN120" s="319"/>
      <c r="BO120" s="319"/>
      <c r="BP120" s="319"/>
      <c r="BQ120" s="319"/>
      <c r="BR120" s="319"/>
    </row>
    <row r="121" spans="2:70" ht="7.5" customHeight="1">
      <c r="B121" s="308" t="s">
        <v>367</v>
      </c>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8"/>
      <c r="AZ121" s="308"/>
      <c r="BA121" s="308"/>
      <c r="BB121" s="308"/>
      <c r="BC121" s="308"/>
      <c r="BD121" s="308"/>
      <c r="BE121" s="308"/>
      <c r="BF121" s="308"/>
      <c r="BG121" s="308"/>
      <c r="BH121" s="308"/>
      <c r="BI121" s="308"/>
      <c r="BJ121" s="308"/>
      <c r="BK121" s="308"/>
      <c r="BL121" s="308"/>
      <c r="BM121" s="308"/>
      <c r="BN121" s="308"/>
      <c r="BO121" s="308"/>
      <c r="BP121" s="308"/>
      <c r="BQ121" s="308"/>
      <c r="BR121" s="308"/>
    </row>
    <row r="122" spans="2:70" ht="7.5" customHeight="1">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308"/>
      <c r="AX122" s="308"/>
      <c r="AY122" s="308"/>
      <c r="AZ122" s="308"/>
      <c r="BA122" s="308"/>
      <c r="BB122" s="308"/>
      <c r="BC122" s="308"/>
      <c r="BD122" s="308"/>
      <c r="BE122" s="308"/>
      <c r="BF122" s="308"/>
      <c r="BG122" s="308"/>
      <c r="BH122" s="308"/>
      <c r="BI122" s="308"/>
      <c r="BJ122" s="308"/>
      <c r="BK122" s="308"/>
      <c r="BL122" s="308"/>
      <c r="BM122" s="308"/>
      <c r="BN122" s="308"/>
      <c r="BO122" s="308"/>
      <c r="BP122" s="308"/>
      <c r="BQ122" s="308"/>
      <c r="BR122" s="308"/>
    </row>
    <row r="123" spans="2:70" ht="7.5" customHeight="1">
      <c r="B123" s="36"/>
      <c r="C123" s="36"/>
      <c r="D123" s="36"/>
      <c r="E123" s="36"/>
      <c r="F123" s="36"/>
      <c r="G123" s="36"/>
      <c r="H123" s="36"/>
      <c r="I123" s="36"/>
      <c r="J123" s="36"/>
      <c r="K123" s="36"/>
      <c r="L123" s="36"/>
      <c r="M123" s="36"/>
      <c r="N123" s="36"/>
      <c r="O123" s="36"/>
      <c r="P123" s="36"/>
      <c r="Q123" s="36"/>
      <c r="R123" s="36"/>
      <c r="S123" s="3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row>
    <row r="124" spans="2:70" ht="7.5" customHeight="1">
      <c r="B124" s="36"/>
      <c r="C124" s="274" t="s">
        <v>358</v>
      </c>
      <c r="D124" s="274"/>
      <c r="E124" s="274"/>
      <c r="F124" s="274"/>
      <c r="G124" s="274"/>
      <c r="H124" s="274"/>
      <c r="I124" s="274"/>
      <c r="J124" s="274"/>
      <c r="K124" s="274"/>
      <c r="L124" s="274"/>
      <c r="M124" s="274"/>
      <c r="N124" s="274"/>
      <c r="O124" s="274"/>
      <c r="P124" s="274"/>
      <c r="Q124" s="274"/>
      <c r="R124" s="274"/>
      <c r="S124" s="274"/>
      <c r="T124" s="274"/>
      <c r="U124" s="16"/>
      <c r="V124" s="315" t="str">
        <f>V169</f>
        <v>Kettle</v>
      </c>
      <c r="W124" s="315"/>
      <c r="X124" s="315"/>
      <c r="Y124" s="315"/>
      <c r="Z124" s="315"/>
      <c r="AA124" s="315"/>
      <c r="AB124" s="315"/>
      <c r="AC124" s="16"/>
      <c r="AD124" s="309" t="str">
        <f>AD169</f>
        <v>Cube</v>
      </c>
      <c r="AE124" s="309"/>
      <c r="AF124" s="309"/>
      <c r="AG124" s="309"/>
      <c r="AH124" s="309"/>
      <c r="AI124" s="309"/>
      <c r="AJ124" s="309"/>
      <c r="AK124" s="16"/>
      <c r="AL124" s="309" t="str">
        <f>AL169</f>
        <v>Fermentor</v>
      </c>
      <c r="AM124" s="309"/>
      <c r="AN124" s="309"/>
      <c r="AO124" s="309"/>
      <c r="AP124" s="309"/>
      <c r="AQ124" s="309"/>
      <c r="AR124" s="309"/>
      <c r="AS124" s="16"/>
      <c r="AT124" s="309" t="str">
        <f>AT169</f>
        <v>Secondary</v>
      </c>
      <c r="AU124" s="309"/>
      <c r="AV124" s="309"/>
      <c r="AW124" s="309"/>
      <c r="AX124" s="309"/>
      <c r="AY124" s="309"/>
      <c r="AZ124" s="309"/>
      <c r="BA124" s="16"/>
      <c r="BB124" s="309" t="str">
        <f>BB169</f>
        <v>Keg</v>
      </c>
      <c r="BC124" s="309"/>
      <c r="BD124" s="309"/>
      <c r="BE124" s="309"/>
      <c r="BF124" s="309"/>
      <c r="BG124" s="309"/>
      <c r="BH124" s="309"/>
      <c r="BI124" s="16"/>
      <c r="BJ124" s="309" t="str">
        <f>BJ169</f>
        <v>Gas Bottle</v>
      </c>
      <c r="BK124" s="309"/>
      <c r="BL124" s="309"/>
      <c r="BM124" s="309"/>
      <c r="BN124" s="309"/>
      <c r="BO124" s="309"/>
      <c r="BP124" s="309"/>
      <c r="BQ124" s="16"/>
      <c r="BR124" s="16"/>
    </row>
    <row r="125" spans="2:70" ht="7.5" customHeight="1">
      <c r="B125" s="36"/>
      <c r="C125" s="274"/>
      <c r="D125" s="274"/>
      <c r="E125" s="274"/>
      <c r="F125" s="274"/>
      <c r="G125" s="274"/>
      <c r="H125" s="274"/>
      <c r="I125" s="274"/>
      <c r="J125" s="274"/>
      <c r="K125" s="274"/>
      <c r="L125" s="274"/>
      <c r="M125" s="274"/>
      <c r="N125" s="274"/>
      <c r="O125" s="274"/>
      <c r="P125" s="274"/>
      <c r="Q125" s="274"/>
      <c r="R125" s="274"/>
      <c r="S125" s="274"/>
      <c r="T125" s="274"/>
      <c r="U125" s="16"/>
      <c r="V125" s="315"/>
      <c r="W125" s="315"/>
      <c r="X125" s="315"/>
      <c r="Y125" s="315"/>
      <c r="Z125" s="315"/>
      <c r="AA125" s="315"/>
      <c r="AB125" s="315"/>
      <c r="AC125" s="16"/>
      <c r="AD125" s="309"/>
      <c r="AE125" s="309"/>
      <c r="AF125" s="309"/>
      <c r="AG125" s="309"/>
      <c r="AH125" s="309"/>
      <c r="AI125" s="309"/>
      <c r="AJ125" s="309"/>
      <c r="AK125" s="16"/>
      <c r="AL125" s="309"/>
      <c r="AM125" s="309"/>
      <c r="AN125" s="309"/>
      <c r="AO125" s="309"/>
      <c r="AP125" s="309"/>
      <c r="AQ125" s="309"/>
      <c r="AR125" s="309"/>
      <c r="AS125" s="16"/>
      <c r="AT125" s="309"/>
      <c r="AU125" s="309"/>
      <c r="AV125" s="309"/>
      <c r="AW125" s="309"/>
      <c r="AX125" s="309"/>
      <c r="AY125" s="309"/>
      <c r="AZ125" s="309"/>
      <c r="BA125" s="16"/>
      <c r="BB125" s="309"/>
      <c r="BC125" s="309"/>
      <c r="BD125" s="309"/>
      <c r="BE125" s="309"/>
      <c r="BF125" s="309"/>
      <c r="BG125" s="309"/>
      <c r="BH125" s="309"/>
      <c r="BI125" s="16"/>
      <c r="BJ125" s="309"/>
      <c r="BK125" s="309"/>
      <c r="BL125" s="309"/>
      <c r="BM125" s="309"/>
      <c r="BN125" s="309"/>
      <c r="BO125" s="309"/>
      <c r="BP125" s="309"/>
      <c r="BQ125" s="16"/>
      <c r="BR125" s="16"/>
    </row>
    <row r="126" spans="2:70" ht="7.5" customHeight="1">
      <c r="B126" s="36"/>
      <c r="C126" s="36"/>
      <c r="D126" s="36"/>
      <c r="E126" s="36"/>
      <c r="F126" s="36"/>
      <c r="G126" s="36"/>
      <c r="H126" s="36"/>
      <c r="I126" s="36"/>
      <c r="J126" s="36"/>
      <c r="K126" s="36"/>
      <c r="L126" s="36"/>
      <c r="M126" s="36"/>
      <c r="N126" s="36"/>
      <c r="O126" s="36"/>
      <c r="P126" s="36"/>
      <c r="Q126" s="36"/>
      <c r="R126" s="36"/>
      <c r="S126" s="36"/>
      <c r="T126" s="3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row>
    <row r="127" spans="2:70" ht="7.5" customHeight="1">
      <c r="B127" s="36"/>
      <c r="C127" s="317" t="s">
        <v>355</v>
      </c>
      <c r="D127" s="317"/>
      <c r="E127" s="317"/>
      <c r="F127" s="317"/>
      <c r="G127" s="317"/>
      <c r="H127" s="317"/>
      <c r="I127" s="317"/>
      <c r="J127" s="317"/>
      <c r="K127" s="317"/>
      <c r="L127" s="317"/>
      <c r="M127" s="317"/>
      <c r="N127" s="311">
        <v>0.5</v>
      </c>
      <c r="O127" s="311"/>
      <c r="P127" s="311"/>
      <c r="Q127" s="311"/>
      <c r="R127" s="311"/>
      <c r="S127" s="309" t="s">
        <v>356</v>
      </c>
      <c r="T127" s="309"/>
      <c r="U127" s="16"/>
      <c r="V127" s="311">
        <v>9.711</v>
      </c>
      <c r="W127" s="311"/>
      <c r="X127" s="311"/>
      <c r="Y127" s="311"/>
      <c r="Z127" s="311"/>
      <c r="AA127" s="309" t="s">
        <v>356</v>
      </c>
      <c r="AB127" s="309"/>
      <c r="AC127" s="16"/>
      <c r="AD127" s="311">
        <v>1.117</v>
      </c>
      <c r="AE127" s="311"/>
      <c r="AF127" s="311"/>
      <c r="AG127" s="311"/>
      <c r="AH127" s="311"/>
      <c r="AI127" s="309" t="s">
        <v>356</v>
      </c>
      <c r="AJ127" s="309"/>
      <c r="AK127" s="16"/>
      <c r="AL127" s="311">
        <v>1.683</v>
      </c>
      <c r="AM127" s="311"/>
      <c r="AN127" s="311"/>
      <c r="AO127" s="311"/>
      <c r="AP127" s="311"/>
      <c r="AQ127" s="309" t="s">
        <v>356</v>
      </c>
      <c r="AR127" s="309"/>
      <c r="AS127" s="16"/>
      <c r="AT127" s="311">
        <v>1.326</v>
      </c>
      <c r="AU127" s="311"/>
      <c r="AV127" s="311"/>
      <c r="AW127" s="311"/>
      <c r="AX127" s="311"/>
      <c r="AY127" s="309" t="s">
        <v>356</v>
      </c>
      <c r="AZ127" s="309"/>
      <c r="BA127" s="16"/>
      <c r="BB127" s="311">
        <v>4.195</v>
      </c>
      <c r="BC127" s="311"/>
      <c r="BD127" s="311"/>
      <c r="BE127" s="311"/>
      <c r="BF127" s="311"/>
      <c r="BG127" s="309" t="s">
        <v>356</v>
      </c>
      <c r="BH127" s="309"/>
      <c r="BI127" s="16"/>
      <c r="BJ127" s="311">
        <v>8.6</v>
      </c>
      <c r="BK127" s="311"/>
      <c r="BL127" s="311"/>
      <c r="BM127" s="311"/>
      <c r="BN127" s="311"/>
      <c r="BO127" s="309" t="s">
        <v>356</v>
      </c>
      <c r="BP127" s="309"/>
      <c r="BQ127" s="16"/>
      <c r="BR127" s="16"/>
    </row>
    <row r="128" spans="2:70" ht="7.5" customHeight="1">
      <c r="B128" s="36"/>
      <c r="C128" s="317"/>
      <c r="D128" s="317"/>
      <c r="E128" s="317"/>
      <c r="F128" s="317"/>
      <c r="G128" s="317"/>
      <c r="H128" s="317"/>
      <c r="I128" s="317"/>
      <c r="J128" s="317"/>
      <c r="K128" s="317"/>
      <c r="L128" s="317"/>
      <c r="M128" s="317"/>
      <c r="N128" s="311"/>
      <c r="O128" s="311"/>
      <c r="P128" s="311"/>
      <c r="Q128" s="311"/>
      <c r="R128" s="311"/>
      <c r="S128" s="309"/>
      <c r="T128" s="309"/>
      <c r="U128" s="16"/>
      <c r="V128" s="311"/>
      <c r="W128" s="311"/>
      <c r="X128" s="311"/>
      <c r="Y128" s="311"/>
      <c r="Z128" s="311"/>
      <c r="AA128" s="309"/>
      <c r="AB128" s="309"/>
      <c r="AC128" s="16"/>
      <c r="AD128" s="311"/>
      <c r="AE128" s="311"/>
      <c r="AF128" s="311"/>
      <c r="AG128" s="311"/>
      <c r="AH128" s="311"/>
      <c r="AI128" s="309"/>
      <c r="AJ128" s="309"/>
      <c r="AK128" s="16"/>
      <c r="AL128" s="311"/>
      <c r="AM128" s="311"/>
      <c r="AN128" s="311"/>
      <c r="AO128" s="311"/>
      <c r="AP128" s="311"/>
      <c r="AQ128" s="309"/>
      <c r="AR128" s="309"/>
      <c r="AS128" s="16"/>
      <c r="AT128" s="311"/>
      <c r="AU128" s="311"/>
      <c r="AV128" s="311"/>
      <c r="AW128" s="311"/>
      <c r="AX128" s="311"/>
      <c r="AY128" s="309"/>
      <c r="AZ128" s="309"/>
      <c r="BA128" s="16"/>
      <c r="BB128" s="311"/>
      <c r="BC128" s="311"/>
      <c r="BD128" s="311"/>
      <c r="BE128" s="311"/>
      <c r="BF128" s="311"/>
      <c r="BG128" s="309"/>
      <c r="BH128" s="309"/>
      <c r="BI128" s="16"/>
      <c r="BJ128" s="311"/>
      <c r="BK128" s="311"/>
      <c r="BL128" s="311"/>
      <c r="BM128" s="311"/>
      <c r="BN128" s="311"/>
      <c r="BO128" s="309"/>
      <c r="BP128" s="309"/>
      <c r="BQ128" s="16"/>
      <c r="BR128" s="16"/>
    </row>
    <row r="129" spans="2:70" ht="7.5" customHeight="1">
      <c r="B129" s="36"/>
      <c r="C129" s="2"/>
      <c r="D129" s="2"/>
      <c r="E129" s="2"/>
      <c r="F129" s="2"/>
      <c r="G129" s="36"/>
      <c r="H129" s="36"/>
      <c r="I129" s="36"/>
      <c r="J129" s="36"/>
      <c r="K129" s="2"/>
      <c r="L129" s="2"/>
      <c r="M129" s="2"/>
      <c r="N129" s="36"/>
      <c r="O129" s="36"/>
      <c r="P129" s="2"/>
      <c r="Q129" s="2"/>
      <c r="R129" s="2"/>
      <c r="S129" s="2"/>
      <c r="T129" s="36"/>
      <c r="U129" s="16"/>
      <c r="V129" s="36"/>
      <c r="W129" s="36"/>
      <c r="X129" s="2"/>
      <c r="Y129" s="2"/>
      <c r="Z129" s="2"/>
      <c r="AA129" s="2"/>
      <c r="AB129" s="36"/>
      <c r="AC129" s="16"/>
      <c r="AD129" s="36"/>
      <c r="AE129" s="36"/>
      <c r="AF129" s="2"/>
      <c r="AG129" s="2"/>
      <c r="AH129" s="2"/>
      <c r="AI129" s="2"/>
      <c r="AJ129" s="36"/>
      <c r="AK129" s="16"/>
      <c r="AL129" s="36"/>
      <c r="AM129" s="36"/>
      <c r="AN129" s="2"/>
      <c r="AO129" s="2"/>
      <c r="AP129" s="2"/>
      <c r="AQ129" s="2"/>
      <c r="AR129" s="36"/>
      <c r="AS129" s="16"/>
      <c r="AT129" s="36"/>
      <c r="AU129" s="36"/>
      <c r="AV129" s="2"/>
      <c r="AW129" s="2"/>
      <c r="AX129" s="2"/>
      <c r="AY129" s="2"/>
      <c r="AZ129" s="36"/>
      <c r="BA129" s="16"/>
      <c r="BB129" s="36"/>
      <c r="BC129" s="36"/>
      <c r="BD129" s="2"/>
      <c r="BE129" s="2"/>
      <c r="BF129" s="2"/>
      <c r="BG129" s="2"/>
      <c r="BH129" s="36"/>
      <c r="BI129" s="16"/>
      <c r="BJ129" s="36"/>
      <c r="BK129" s="36"/>
      <c r="BL129" s="2"/>
      <c r="BM129" s="2"/>
      <c r="BN129" s="2"/>
      <c r="BO129" s="2"/>
      <c r="BP129" s="36"/>
      <c r="BQ129" s="16"/>
      <c r="BR129" s="16"/>
    </row>
    <row r="130" spans="2:70" ht="7.5" customHeight="1">
      <c r="B130" s="36"/>
      <c r="C130" s="317" t="s">
        <v>352</v>
      </c>
      <c r="D130" s="317"/>
      <c r="E130" s="317"/>
      <c r="F130" s="317"/>
      <c r="G130" s="317"/>
      <c r="H130" s="317"/>
      <c r="I130" s="317"/>
      <c r="J130" s="317"/>
      <c r="K130" s="317"/>
      <c r="L130" s="317"/>
      <c r="M130" s="317"/>
      <c r="N130" s="311">
        <v>23</v>
      </c>
      <c r="O130" s="311"/>
      <c r="P130" s="311"/>
      <c r="Q130" s="311"/>
      <c r="R130" s="311"/>
      <c r="S130" s="309" t="s">
        <v>356</v>
      </c>
      <c r="T130" s="309"/>
      <c r="U130" s="16"/>
      <c r="V130" s="311">
        <v>11.96</v>
      </c>
      <c r="W130" s="311"/>
      <c r="X130" s="311"/>
      <c r="Y130" s="311"/>
      <c r="Z130" s="311"/>
      <c r="AA130" s="309" t="s">
        <v>356</v>
      </c>
      <c r="AB130" s="309"/>
      <c r="AC130" s="16"/>
      <c r="AD130" s="311"/>
      <c r="AE130" s="311"/>
      <c r="AF130" s="311"/>
      <c r="AG130" s="311"/>
      <c r="AH130" s="311"/>
      <c r="AI130" s="309" t="s">
        <v>356</v>
      </c>
      <c r="AJ130" s="309"/>
      <c r="AK130" s="36"/>
      <c r="AL130" s="311">
        <v>23.215</v>
      </c>
      <c r="AM130" s="311"/>
      <c r="AN130" s="311"/>
      <c r="AO130" s="311"/>
      <c r="AP130" s="311"/>
      <c r="AQ130" s="309" t="s">
        <v>356</v>
      </c>
      <c r="AR130" s="309"/>
      <c r="AS130" s="36"/>
      <c r="AT130" s="311"/>
      <c r="AU130" s="311"/>
      <c r="AV130" s="311"/>
      <c r="AW130" s="311"/>
      <c r="AX130" s="311"/>
      <c r="AY130" s="309" t="s">
        <v>356</v>
      </c>
      <c r="AZ130" s="309"/>
      <c r="BA130" s="16"/>
      <c r="BB130" s="311"/>
      <c r="BC130" s="311"/>
      <c r="BD130" s="311"/>
      <c r="BE130" s="311"/>
      <c r="BF130" s="311"/>
      <c r="BG130" s="309" t="s">
        <v>356</v>
      </c>
      <c r="BH130" s="309"/>
      <c r="BI130" s="16"/>
      <c r="BJ130" s="311">
        <v>17.1</v>
      </c>
      <c r="BK130" s="311"/>
      <c r="BL130" s="311"/>
      <c r="BM130" s="311"/>
      <c r="BN130" s="311"/>
      <c r="BO130" s="309" t="s">
        <v>356</v>
      </c>
      <c r="BP130" s="309"/>
      <c r="BQ130" s="16"/>
      <c r="BR130" s="16"/>
    </row>
    <row r="131" spans="2:70" ht="7.5" customHeight="1">
      <c r="B131" s="36"/>
      <c r="C131" s="317"/>
      <c r="D131" s="317"/>
      <c r="E131" s="317"/>
      <c r="F131" s="317"/>
      <c r="G131" s="317"/>
      <c r="H131" s="317"/>
      <c r="I131" s="317"/>
      <c r="J131" s="317"/>
      <c r="K131" s="317"/>
      <c r="L131" s="317"/>
      <c r="M131" s="317"/>
      <c r="N131" s="311"/>
      <c r="O131" s="311"/>
      <c r="P131" s="311"/>
      <c r="Q131" s="311"/>
      <c r="R131" s="311"/>
      <c r="S131" s="309"/>
      <c r="T131" s="309"/>
      <c r="U131" s="16"/>
      <c r="V131" s="311"/>
      <c r="W131" s="311"/>
      <c r="X131" s="311"/>
      <c r="Y131" s="311"/>
      <c r="Z131" s="311"/>
      <c r="AA131" s="309"/>
      <c r="AB131" s="309"/>
      <c r="AC131" s="16"/>
      <c r="AD131" s="311"/>
      <c r="AE131" s="311"/>
      <c r="AF131" s="311"/>
      <c r="AG131" s="311"/>
      <c r="AH131" s="311"/>
      <c r="AI131" s="309"/>
      <c r="AJ131" s="309"/>
      <c r="AK131" s="36"/>
      <c r="AL131" s="311"/>
      <c r="AM131" s="311"/>
      <c r="AN131" s="311"/>
      <c r="AO131" s="311"/>
      <c r="AP131" s="311"/>
      <c r="AQ131" s="309"/>
      <c r="AR131" s="309"/>
      <c r="AS131" s="36"/>
      <c r="AT131" s="311"/>
      <c r="AU131" s="311"/>
      <c r="AV131" s="311"/>
      <c r="AW131" s="311"/>
      <c r="AX131" s="311"/>
      <c r="AY131" s="309"/>
      <c r="AZ131" s="309"/>
      <c r="BA131" s="16"/>
      <c r="BB131" s="311"/>
      <c r="BC131" s="311"/>
      <c r="BD131" s="311"/>
      <c r="BE131" s="311"/>
      <c r="BF131" s="311"/>
      <c r="BG131" s="309"/>
      <c r="BH131" s="309"/>
      <c r="BI131" s="16"/>
      <c r="BJ131" s="311"/>
      <c r="BK131" s="311"/>
      <c r="BL131" s="311"/>
      <c r="BM131" s="311"/>
      <c r="BN131" s="311"/>
      <c r="BO131" s="309"/>
      <c r="BP131" s="309"/>
      <c r="BQ131" s="16"/>
      <c r="BR131" s="16"/>
    </row>
    <row r="132" spans="2:70" ht="7.5" customHeight="1">
      <c r="B132" s="36"/>
      <c r="C132" s="2"/>
      <c r="D132" s="2"/>
      <c r="E132" s="2"/>
      <c r="F132" s="2"/>
      <c r="G132" s="36"/>
      <c r="H132" s="36"/>
      <c r="I132" s="36"/>
      <c r="J132" s="36"/>
      <c r="K132" s="2"/>
      <c r="L132" s="2"/>
      <c r="M132" s="2"/>
      <c r="N132" s="36"/>
      <c r="O132" s="36"/>
      <c r="P132" s="2"/>
      <c r="Q132" s="2"/>
      <c r="R132" s="2"/>
      <c r="S132" s="2"/>
      <c r="T132" s="36"/>
      <c r="U132" s="16"/>
      <c r="V132" s="36"/>
      <c r="W132" s="36"/>
      <c r="X132" s="2"/>
      <c r="Y132" s="2"/>
      <c r="Z132" s="2"/>
      <c r="AA132" s="2"/>
      <c r="AB132" s="36"/>
      <c r="AC132" s="16"/>
      <c r="AD132" s="36"/>
      <c r="AE132" s="36"/>
      <c r="AF132" s="2"/>
      <c r="AG132" s="2"/>
      <c r="AH132" s="2"/>
      <c r="AI132" s="2"/>
      <c r="AJ132" s="36"/>
      <c r="AK132" s="36"/>
      <c r="AL132" s="36"/>
      <c r="AM132" s="36"/>
      <c r="AN132" s="2"/>
      <c r="AO132" s="2"/>
      <c r="AP132" s="2"/>
      <c r="AQ132" s="2"/>
      <c r="AR132" s="36"/>
      <c r="AS132" s="36"/>
      <c r="AT132" s="36"/>
      <c r="AU132" s="36"/>
      <c r="AV132" s="2"/>
      <c r="AW132" s="2"/>
      <c r="AX132" s="2"/>
      <c r="AY132" s="2"/>
      <c r="AZ132" s="36"/>
      <c r="BA132" s="16"/>
      <c r="BB132" s="36"/>
      <c r="BC132" s="36"/>
      <c r="BD132" s="2"/>
      <c r="BE132" s="2"/>
      <c r="BF132" s="2"/>
      <c r="BG132" s="2"/>
      <c r="BH132" s="36"/>
      <c r="BI132" s="16"/>
      <c r="BJ132" s="36"/>
      <c r="BK132" s="36"/>
      <c r="BL132" s="2"/>
      <c r="BM132" s="2"/>
      <c r="BN132" s="2"/>
      <c r="BO132" s="2"/>
      <c r="BP132" s="36"/>
      <c r="BQ132" s="16"/>
      <c r="BR132" s="16"/>
    </row>
    <row r="133" spans="2:70" ht="7.5" customHeight="1">
      <c r="B133" s="36"/>
      <c r="C133" s="314" t="s">
        <v>353</v>
      </c>
      <c r="D133" s="314"/>
      <c r="E133" s="314"/>
      <c r="F133" s="314"/>
      <c r="G133" s="314"/>
      <c r="H133" s="314"/>
      <c r="I133" s="314"/>
      <c r="J133" s="314"/>
      <c r="K133" s="314"/>
      <c r="L133" s="314"/>
      <c r="M133" s="314"/>
      <c r="N133" s="221">
        <v>1.05</v>
      </c>
      <c r="O133" s="221"/>
      <c r="P133" s="221"/>
      <c r="Q133" s="221"/>
      <c r="R133" s="221"/>
      <c r="S133" s="110"/>
      <c r="T133" s="110"/>
      <c r="U133" s="16"/>
      <c r="V133" s="316">
        <v>1.06</v>
      </c>
      <c r="W133" s="316"/>
      <c r="X133" s="316"/>
      <c r="Y133" s="316"/>
      <c r="Z133" s="316"/>
      <c r="AA133" s="110"/>
      <c r="AB133" s="110"/>
      <c r="AC133" s="16"/>
      <c r="AD133" s="316"/>
      <c r="AE133" s="316"/>
      <c r="AF133" s="316"/>
      <c r="AG133" s="316"/>
      <c r="AH133" s="316"/>
      <c r="AI133" s="110"/>
      <c r="AJ133" s="110"/>
      <c r="AK133" s="36"/>
      <c r="AL133" s="316">
        <v>1.06</v>
      </c>
      <c r="AM133" s="316"/>
      <c r="AN133" s="316"/>
      <c r="AO133" s="316"/>
      <c r="AP133" s="316"/>
      <c r="AQ133" s="110"/>
      <c r="AR133" s="110"/>
      <c r="AS133" s="36"/>
      <c r="AT133" s="316"/>
      <c r="AU133" s="316"/>
      <c r="AV133" s="316"/>
      <c r="AW133" s="316"/>
      <c r="AX133" s="316"/>
      <c r="AY133" s="110"/>
      <c r="AZ133" s="110"/>
      <c r="BA133" s="16"/>
      <c r="BB133" s="316"/>
      <c r="BC133" s="316"/>
      <c r="BD133" s="316"/>
      <c r="BE133" s="316"/>
      <c r="BF133" s="316"/>
      <c r="BG133" s="110"/>
      <c r="BH133" s="110"/>
      <c r="BI133" s="16"/>
      <c r="BJ133" s="316">
        <v>0.51</v>
      </c>
      <c r="BK133" s="316"/>
      <c r="BL133" s="316"/>
      <c r="BM133" s="316"/>
      <c r="BN133" s="316"/>
      <c r="BO133" s="110"/>
      <c r="BP133" s="110"/>
      <c r="BQ133" s="16"/>
      <c r="BR133" s="16"/>
    </row>
    <row r="134" spans="2:70" ht="7.5" customHeight="1">
      <c r="B134" s="36"/>
      <c r="C134" s="314"/>
      <c r="D134" s="314"/>
      <c r="E134" s="314"/>
      <c r="F134" s="314"/>
      <c r="G134" s="314"/>
      <c r="H134" s="314"/>
      <c r="I134" s="314"/>
      <c r="J134" s="314"/>
      <c r="K134" s="314"/>
      <c r="L134" s="314"/>
      <c r="M134" s="314"/>
      <c r="N134" s="221"/>
      <c r="O134" s="221"/>
      <c r="P134" s="221"/>
      <c r="Q134" s="221"/>
      <c r="R134" s="221"/>
      <c r="S134" s="110"/>
      <c r="T134" s="110"/>
      <c r="U134" s="16"/>
      <c r="V134" s="316"/>
      <c r="W134" s="316"/>
      <c r="X134" s="316"/>
      <c r="Y134" s="316"/>
      <c r="Z134" s="316"/>
      <c r="AA134" s="110"/>
      <c r="AB134" s="110"/>
      <c r="AC134" s="16"/>
      <c r="AD134" s="316"/>
      <c r="AE134" s="316"/>
      <c r="AF134" s="316"/>
      <c r="AG134" s="316"/>
      <c r="AH134" s="316"/>
      <c r="AI134" s="110"/>
      <c r="AJ134" s="110"/>
      <c r="AK134" s="36"/>
      <c r="AL134" s="316"/>
      <c r="AM134" s="316"/>
      <c r="AN134" s="316"/>
      <c r="AO134" s="316"/>
      <c r="AP134" s="316"/>
      <c r="AQ134" s="110"/>
      <c r="AR134" s="110"/>
      <c r="AS134" s="36"/>
      <c r="AT134" s="316"/>
      <c r="AU134" s="316"/>
      <c r="AV134" s="316"/>
      <c r="AW134" s="316"/>
      <c r="AX134" s="316"/>
      <c r="AY134" s="110"/>
      <c r="AZ134" s="110"/>
      <c r="BA134" s="16"/>
      <c r="BB134" s="316"/>
      <c r="BC134" s="316"/>
      <c r="BD134" s="316"/>
      <c r="BE134" s="316"/>
      <c r="BF134" s="316"/>
      <c r="BG134" s="110"/>
      <c r="BH134" s="110"/>
      <c r="BI134" s="16"/>
      <c r="BJ134" s="316"/>
      <c r="BK134" s="316"/>
      <c r="BL134" s="316"/>
      <c r="BM134" s="316"/>
      <c r="BN134" s="316"/>
      <c r="BO134" s="110"/>
      <c r="BP134" s="110"/>
      <c r="BQ134" s="16"/>
      <c r="BR134" s="16"/>
    </row>
    <row r="135" spans="2:70" ht="7.5" customHeight="1">
      <c r="B135" s="36"/>
      <c r="C135" s="2"/>
      <c r="D135" s="2"/>
      <c r="E135" s="2"/>
      <c r="F135" s="2"/>
      <c r="G135" s="36"/>
      <c r="H135" s="36"/>
      <c r="I135" s="36"/>
      <c r="J135" s="36"/>
      <c r="K135" s="2"/>
      <c r="L135" s="2"/>
      <c r="M135" s="2"/>
      <c r="N135" s="36"/>
      <c r="O135" s="36"/>
      <c r="P135" s="36"/>
      <c r="Q135" s="36"/>
      <c r="R135" s="36"/>
      <c r="S135" s="36"/>
      <c r="T135" s="36"/>
      <c r="U135" s="16"/>
      <c r="V135" s="36"/>
      <c r="W135" s="36"/>
      <c r="X135" s="36"/>
      <c r="Y135" s="36"/>
      <c r="Z135" s="36"/>
      <c r="AA135" s="36"/>
      <c r="AB135" s="36"/>
      <c r="AC135" s="1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16"/>
      <c r="BB135" s="36"/>
      <c r="BC135" s="36"/>
      <c r="BD135" s="36"/>
      <c r="BE135" s="36"/>
      <c r="BF135" s="36"/>
      <c r="BG135" s="36"/>
      <c r="BH135" s="36"/>
      <c r="BI135" s="16"/>
      <c r="BJ135" s="36"/>
      <c r="BK135" s="36"/>
      <c r="BL135" s="36"/>
      <c r="BM135" s="36"/>
      <c r="BN135" s="36"/>
      <c r="BO135" s="36"/>
      <c r="BP135" s="36"/>
      <c r="BQ135" s="16"/>
      <c r="BR135" s="16"/>
    </row>
    <row r="136" spans="2:70" ht="7.5" customHeight="1">
      <c r="B136" s="36"/>
      <c r="C136" s="314" t="s">
        <v>354</v>
      </c>
      <c r="D136" s="314"/>
      <c r="E136" s="314"/>
      <c r="F136" s="314"/>
      <c r="G136" s="314"/>
      <c r="H136" s="314"/>
      <c r="I136" s="314"/>
      <c r="J136" s="314"/>
      <c r="K136" s="314"/>
      <c r="L136" s="314"/>
      <c r="M136" s="314"/>
      <c r="N136" s="310">
        <f>IF(AND(ISNUMBER(N127),ISNUMBER(N130),ISNUMBER(N133)),(N130-N127)/N133,"")</f>
        <v>21.428571428571427</v>
      </c>
      <c r="O136" s="310"/>
      <c r="P136" s="310"/>
      <c r="Q136" s="310"/>
      <c r="R136" s="310"/>
      <c r="S136" s="309" t="s">
        <v>357</v>
      </c>
      <c r="T136" s="309"/>
      <c r="U136" s="16"/>
      <c r="V136" s="310">
        <f>IF(AND(ISNUMBER(V127),ISNUMBER(V130),ISNUMBER(V133)),(V130-V127)/V133,"")</f>
        <v>2.1216981132075476</v>
      </c>
      <c r="W136" s="310"/>
      <c r="X136" s="310"/>
      <c r="Y136" s="310"/>
      <c r="Z136" s="310"/>
      <c r="AA136" s="309" t="s">
        <v>357</v>
      </c>
      <c r="AB136" s="309"/>
      <c r="AC136" s="16"/>
      <c r="AD136" s="310">
        <f>IF(AND(ISNUMBER(AD127),ISNUMBER(AD130),ISNUMBER(AD133)),(AD130-AD127)/AD133,"")</f>
      </c>
      <c r="AE136" s="310"/>
      <c r="AF136" s="310"/>
      <c r="AG136" s="310"/>
      <c r="AH136" s="310"/>
      <c r="AI136" s="309" t="s">
        <v>357</v>
      </c>
      <c r="AJ136" s="309"/>
      <c r="AK136" s="36"/>
      <c r="AL136" s="310">
        <f>IF(AND(ISNUMBER(AL127),ISNUMBER(AL130),ISNUMBER(AL133)),(AL130-AL127)/AL133,"")</f>
        <v>20.31320754716981</v>
      </c>
      <c r="AM136" s="310"/>
      <c r="AN136" s="310"/>
      <c r="AO136" s="310"/>
      <c r="AP136" s="310"/>
      <c r="AQ136" s="309" t="s">
        <v>357</v>
      </c>
      <c r="AR136" s="309"/>
      <c r="AS136" s="36"/>
      <c r="AT136" s="310">
        <f>IF(AND(ISNUMBER(AT127),ISNUMBER(AT130),ISNUMBER(AT133)),(AT130-AT127)/AT133,"")</f>
      </c>
      <c r="AU136" s="310"/>
      <c r="AV136" s="310"/>
      <c r="AW136" s="310"/>
      <c r="AX136" s="310"/>
      <c r="AY136" s="309" t="s">
        <v>357</v>
      </c>
      <c r="AZ136" s="309"/>
      <c r="BA136" s="16"/>
      <c r="BB136" s="310">
        <f>IF(AND(ISNUMBER(BB127),ISNUMBER(BB130),ISNUMBER(BB133)),(BB130-BB127)/BB133,"")</f>
      </c>
      <c r="BC136" s="310"/>
      <c r="BD136" s="310"/>
      <c r="BE136" s="310"/>
      <c r="BF136" s="310"/>
      <c r="BG136" s="309" t="s">
        <v>357</v>
      </c>
      <c r="BH136" s="309"/>
      <c r="BI136" s="16"/>
      <c r="BJ136" s="310">
        <f>IF(AND(ISNUMBER(BJ127),ISNUMBER(BJ130),ISNUMBER(BJ133)),(BJ130-BJ127)/BJ133,"")</f>
        <v>16.66666666666667</v>
      </c>
      <c r="BK136" s="310"/>
      <c r="BL136" s="310"/>
      <c r="BM136" s="310"/>
      <c r="BN136" s="310"/>
      <c r="BO136" s="309" t="s">
        <v>357</v>
      </c>
      <c r="BP136" s="309"/>
      <c r="BQ136" s="16"/>
      <c r="BR136" s="16"/>
    </row>
    <row r="137" spans="2:70" ht="7.5" customHeight="1">
      <c r="B137" s="36"/>
      <c r="C137" s="314"/>
      <c r="D137" s="314"/>
      <c r="E137" s="314"/>
      <c r="F137" s="314"/>
      <c r="G137" s="314"/>
      <c r="H137" s="314"/>
      <c r="I137" s="314"/>
      <c r="J137" s="314"/>
      <c r="K137" s="314"/>
      <c r="L137" s="314"/>
      <c r="M137" s="314"/>
      <c r="N137" s="310"/>
      <c r="O137" s="310"/>
      <c r="P137" s="310"/>
      <c r="Q137" s="310"/>
      <c r="R137" s="310"/>
      <c r="S137" s="309"/>
      <c r="T137" s="309"/>
      <c r="U137" s="16"/>
      <c r="V137" s="310"/>
      <c r="W137" s="310"/>
      <c r="X137" s="310"/>
      <c r="Y137" s="310"/>
      <c r="Z137" s="310"/>
      <c r="AA137" s="309"/>
      <c r="AB137" s="309"/>
      <c r="AC137" s="16"/>
      <c r="AD137" s="310"/>
      <c r="AE137" s="310"/>
      <c r="AF137" s="310"/>
      <c r="AG137" s="310"/>
      <c r="AH137" s="310"/>
      <c r="AI137" s="309"/>
      <c r="AJ137" s="309"/>
      <c r="AK137" s="36"/>
      <c r="AL137" s="310"/>
      <c r="AM137" s="310"/>
      <c r="AN137" s="310"/>
      <c r="AO137" s="310"/>
      <c r="AP137" s="310"/>
      <c r="AQ137" s="309"/>
      <c r="AR137" s="309"/>
      <c r="AS137" s="36"/>
      <c r="AT137" s="310"/>
      <c r="AU137" s="310"/>
      <c r="AV137" s="310"/>
      <c r="AW137" s="310"/>
      <c r="AX137" s="310"/>
      <c r="AY137" s="309"/>
      <c r="AZ137" s="309"/>
      <c r="BA137" s="16"/>
      <c r="BB137" s="310"/>
      <c r="BC137" s="310"/>
      <c r="BD137" s="310"/>
      <c r="BE137" s="310"/>
      <c r="BF137" s="310"/>
      <c r="BG137" s="309"/>
      <c r="BH137" s="309"/>
      <c r="BI137" s="16"/>
      <c r="BJ137" s="310"/>
      <c r="BK137" s="310"/>
      <c r="BL137" s="310"/>
      <c r="BM137" s="310"/>
      <c r="BN137" s="310"/>
      <c r="BO137" s="309"/>
      <c r="BP137" s="309"/>
      <c r="BQ137" s="16"/>
      <c r="BR137" s="16"/>
    </row>
    <row r="138" spans="2:70" ht="7.5" customHeight="1">
      <c r="B138" s="36"/>
      <c r="C138" s="36"/>
      <c r="D138" s="36"/>
      <c r="E138" s="36"/>
      <c r="F138" s="36"/>
      <c r="G138" s="36"/>
      <c r="H138" s="36"/>
      <c r="I138" s="36"/>
      <c r="J138" s="36"/>
      <c r="K138" s="36"/>
      <c r="L138" s="36"/>
      <c r="M138" s="36"/>
      <c r="N138" s="36"/>
      <c r="O138" s="36"/>
      <c r="P138" s="36"/>
      <c r="Q138" s="36"/>
      <c r="R138" s="36"/>
      <c r="S138" s="36"/>
      <c r="T138" s="36"/>
      <c r="U138" s="16"/>
      <c r="V138" s="16"/>
      <c r="W138" s="16"/>
      <c r="X138" s="16"/>
      <c r="Y138" s="16"/>
      <c r="Z138" s="16"/>
      <c r="AA138" s="16"/>
      <c r="AB138" s="16"/>
      <c r="AC138" s="16"/>
      <c r="AD138" s="36"/>
      <c r="AE138" s="36"/>
      <c r="AF138" s="36"/>
      <c r="AG138" s="36"/>
      <c r="AH138" s="36"/>
      <c r="AI138" s="36"/>
      <c r="AJ138" s="36"/>
      <c r="AK138" s="36"/>
      <c r="AL138" s="36"/>
      <c r="AM138" s="36"/>
      <c r="AN138" s="36"/>
      <c r="AO138" s="36"/>
      <c r="AP138" s="36"/>
      <c r="AQ138" s="36"/>
      <c r="AR138" s="36"/>
      <c r="AS138" s="36"/>
      <c r="AT138" s="36"/>
      <c r="AU138" s="3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row>
    <row r="139" spans="2:70" ht="7.5" customHeight="1">
      <c r="B139" s="36"/>
      <c r="C139" s="274" t="s">
        <v>360</v>
      </c>
      <c r="D139" s="274"/>
      <c r="E139" s="274"/>
      <c r="F139" s="274"/>
      <c r="G139" s="274"/>
      <c r="H139" s="274"/>
      <c r="I139" s="274"/>
      <c r="J139" s="274"/>
      <c r="K139" s="274"/>
      <c r="L139" s="274"/>
      <c r="M139" s="274"/>
      <c r="N139" s="274"/>
      <c r="O139" s="274"/>
      <c r="P139" s="274"/>
      <c r="Q139" s="274"/>
      <c r="R139" s="274"/>
      <c r="S139" s="274"/>
      <c r="T139" s="274"/>
      <c r="U139" s="16"/>
      <c r="V139" s="16"/>
      <c r="W139" s="16"/>
      <c r="X139" s="16"/>
      <c r="Y139" s="16"/>
      <c r="Z139" s="16"/>
      <c r="AA139" s="16"/>
      <c r="AB139" s="16"/>
      <c r="AC139" s="16"/>
      <c r="AD139" s="36"/>
      <c r="AE139" s="36"/>
      <c r="AF139" s="36"/>
      <c r="AG139" s="36"/>
      <c r="AH139" s="36"/>
      <c r="AI139" s="36"/>
      <c r="AJ139" s="36"/>
      <c r="AK139" s="36"/>
      <c r="AL139" s="36"/>
      <c r="AM139" s="36"/>
      <c r="AN139" s="36"/>
      <c r="AO139" s="36"/>
      <c r="AP139" s="36"/>
      <c r="AQ139" s="36"/>
      <c r="AR139" s="36"/>
      <c r="AS139" s="36"/>
      <c r="AT139" s="36"/>
      <c r="AU139" s="3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row>
    <row r="140" spans="2:70" ht="7.5" customHeight="1">
      <c r="B140" s="36"/>
      <c r="C140" s="274"/>
      <c r="D140" s="274"/>
      <c r="E140" s="274"/>
      <c r="F140" s="274"/>
      <c r="G140" s="274"/>
      <c r="H140" s="274"/>
      <c r="I140" s="274"/>
      <c r="J140" s="274"/>
      <c r="K140" s="274"/>
      <c r="L140" s="274"/>
      <c r="M140" s="274"/>
      <c r="N140" s="274"/>
      <c r="O140" s="274"/>
      <c r="P140" s="274"/>
      <c r="Q140" s="274"/>
      <c r="R140" s="274"/>
      <c r="S140" s="274"/>
      <c r="T140" s="274"/>
      <c r="U140" s="16"/>
      <c r="V140" s="16"/>
      <c r="W140" s="16"/>
      <c r="X140" s="16"/>
      <c r="Y140" s="16"/>
      <c r="Z140" s="16"/>
      <c r="AA140" s="16"/>
      <c r="AB140" s="16"/>
      <c r="AC140" s="16"/>
      <c r="AD140" s="36"/>
      <c r="AE140" s="36"/>
      <c r="AF140" s="36"/>
      <c r="AG140" s="36"/>
      <c r="AH140" s="36"/>
      <c r="AI140" s="36"/>
      <c r="AJ140" s="36"/>
      <c r="AK140" s="36"/>
      <c r="AL140" s="36"/>
      <c r="AM140" s="36"/>
      <c r="AN140" s="36"/>
      <c r="AO140" s="36"/>
      <c r="AP140" s="36"/>
      <c r="AQ140" s="36"/>
      <c r="AR140" s="36"/>
      <c r="AS140" s="36"/>
      <c r="AT140" s="36"/>
      <c r="AU140" s="3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row>
    <row r="141" spans="2:70" ht="7.5" customHeight="1">
      <c r="B141" s="36"/>
      <c r="C141" s="36"/>
      <c r="D141" s="36"/>
      <c r="E141" s="36"/>
      <c r="F141" s="36"/>
      <c r="G141" s="36"/>
      <c r="H141" s="36"/>
      <c r="I141" s="36"/>
      <c r="J141" s="36"/>
      <c r="K141" s="36"/>
      <c r="L141" s="36"/>
      <c r="M141" s="36"/>
      <c r="N141" s="36"/>
      <c r="O141" s="36"/>
      <c r="P141" s="36"/>
      <c r="Q141" s="36"/>
      <c r="R141" s="36"/>
      <c r="S141" s="36"/>
      <c r="T141" s="36"/>
      <c r="U141" s="16"/>
      <c r="V141" s="16"/>
      <c r="W141" s="16"/>
      <c r="X141" s="16"/>
      <c r="Y141" s="16"/>
      <c r="Z141" s="16"/>
      <c r="AA141" s="16"/>
      <c r="AB141" s="16"/>
      <c r="AC141" s="16"/>
      <c r="AD141" s="36"/>
      <c r="AE141" s="36"/>
      <c r="AF141" s="36"/>
      <c r="AG141" s="36"/>
      <c r="AH141" s="36"/>
      <c r="AI141" s="36"/>
      <c r="AJ141" s="36"/>
      <c r="AK141" s="36"/>
      <c r="AL141" s="36"/>
      <c r="AM141" s="36"/>
      <c r="AN141" s="36"/>
      <c r="AO141" s="36"/>
      <c r="AP141" s="36"/>
      <c r="AQ141" s="36"/>
      <c r="AR141" s="36"/>
      <c r="AS141" s="36"/>
      <c r="AT141" s="36"/>
      <c r="AU141" s="3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row>
    <row r="142" spans="2:70" ht="7.5" customHeight="1">
      <c r="B142" s="36"/>
      <c r="C142" s="317" t="s">
        <v>355</v>
      </c>
      <c r="D142" s="317"/>
      <c r="E142" s="317"/>
      <c r="F142" s="317"/>
      <c r="G142" s="317"/>
      <c r="H142" s="317"/>
      <c r="I142" s="317"/>
      <c r="J142" s="317"/>
      <c r="K142" s="317"/>
      <c r="L142" s="317"/>
      <c r="M142" s="317"/>
      <c r="N142" s="318">
        <f>IF(ISNUMBER($N$127),$N$127/0.45359237,"")</f>
        <v>1.1023113109243878</v>
      </c>
      <c r="O142" s="318"/>
      <c r="P142" s="318"/>
      <c r="Q142" s="318"/>
      <c r="R142" s="318"/>
      <c r="S142" s="309" t="s">
        <v>78</v>
      </c>
      <c r="T142" s="309"/>
      <c r="U142" s="16"/>
      <c r="V142" s="311"/>
      <c r="W142" s="311"/>
      <c r="X142" s="311"/>
      <c r="Y142" s="311"/>
      <c r="Z142" s="311"/>
      <c r="AA142" s="309" t="s">
        <v>78</v>
      </c>
      <c r="AB142" s="309"/>
      <c r="AC142" s="16"/>
      <c r="AD142" s="311"/>
      <c r="AE142" s="311"/>
      <c r="AF142" s="311"/>
      <c r="AG142" s="311"/>
      <c r="AH142" s="311"/>
      <c r="AI142" s="309" t="s">
        <v>78</v>
      </c>
      <c r="AJ142" s="309"/>
      <c r="AK142" s="36"/>
      <c r="AL142" s="311"/>
      <c r="AM142" s="311"/>
      <c r="AN142" s="311"/>
      <c r="AO142" s="311"/>
      <c r="AP142" s="311"/>
      <c r="AQ142" s="309" t="s">
        <v>78</v>
      </c>
      <c r="AR142" s="309"/>
      <c r="AS142" s="36"/>
      <c r="AT142" s="311"/>
      <c r="AU142" s="311"/>
      <c r="AV142" s="311"/>
      <c r="AW142" s="311"/>
      <c r="AX142" s="311"/>
      <c r="AY142" s="309" t="s">
        <v>78</v>
      </c>
      <c r="AZ142" s="309"/>
      <c r="BA142" s="16"/>
      <c r="BB142" s="311"/>
      <c r="BC142" s="311"/>
      <c r="BD142" s="311"/>
      <c r="BE142" s="311"/>
      <c r="BF142" s="311"/>
      <c r="BG142" s="309" t="s">
        <v>78</v>
      </c>
      <c r="BH142" s="309"/>
      <c r="BI142" s="16"/>
      <c r="BJ142" s="311"/>
      <c r="BK142" s="311"/>
      <c r="BL142" s="311"/>
      <c r="BM142" s="311"/>
      <c r="BN142" s="311"/>
      <c r="BO142" s="309" t="s">
        <v>78</v>
      </c>
      <c r="BP142" s="309"/>
      <c r="BQ142" s="16"/>
      <c r="BR142" s="16"/>
    </row>
    <row r="143" spans="2:70" ht="7.5" customHeight="1">
      <c r="B143" s="36"/>
      <c r="C143" s="317"/>
      <c r="D143" s="317"/>
      <c r="E143" s="317"/>
      <c r="F143" s="317"/>
      <c r="G143" s="317"/>
      <c r="H143" s="317"/>
      <c r="I143" s="317"/>
      <c r="J143" s="317"/>
      <c r="K143" s="317"/>
      <c r="L143" s="317"/>
      <c r="M143" s="317"/>
      <c r="N143" s="318"/>
      <c r="O143" s="318"/>
      <c r="P143" s="318"/>
      <c r="Q143" s="318"/>
      <c r="R143" s="318"/>
      <c r="S143" s="309"/>
      <c r="T143" s="309"/>
      <c r="U143" s="16"/>
      <c r="V143" s="311"/>
      <c r="W143" s="311"/>
      <c r="X143" s="311"/>
      <c r="Y143" s="311"/>
      <c r="Z143" s="311"/>
      <c r="AA143" s="309"/>
      <c r="AB143" s="309"/>
      <c r="AC143" s="16"/>
      <c r="AD143" s="311"/>
      <c r="AE143" s="311"/>
      <c r="AF143" s="311"/>
      <c r="AG143" s="311"/>
      <c r="AH143" s="311"/>
      <c r="AI143" s="309"/>
      <c r="AJ143" s="309"/>
      <c r="AK143" s="36"/>
      <c r="AL143" s="311"/>
      <c r="AM143" s="311"/>
      <c r="AN143" s="311"/>
      <c r="AO143" s="311"/>
      <c r="AP143" s="311"/>
      <c r="AQ143" s="309"/>
      <c r="AR143" s="309"/>
      <c r="AS143" s="36"/>
      <c r="AT143" s="311"/>
      <c r="AU143" s="311"/>
      <c r="AV143" s="311"/>
      <c r="AW143" s="311"/>
      <c r="AX143" s="311"/>
      <c r="AY143" s="309"/>
      <c r="AZ143" s="309"/>
      <c r="BA143" s="16"/>
      <c r="BB143" s="311"/>
      <c r="BC143" s="311"/>
      <c r="BD143" s="311"/>
      <c r="BE143" s="311"/>
      <c r="BF143" s="311"/>
      <c r="BG143" s="309"/>
      <c r="BH143" s="309"/>
      <c r="BI143" s="16"/>
      <c r="BJ143" s="311"/>
      <c r="BK143" s="311"/>
      <c r="BL143" s="311"/>
      <c r="BM143" s="311"/>
      <c r="BN143" s="311"/>
      <c r="BO143" s="309"/>
      <c r="BP143" s="309"/>
      <c r="BQ143" s="16"/>
      <c r="BR143" s="16"/>
    </row>
    <row r="144" spans="2:70" ht="7.5" customHeight="1">
      <c r="B144" s="36"/>
      <c r="C144" s="2"/>
      <c r="D144" s="2"/>
      <c r="E144" s="2"/>
      <c r="F144" s="2"/>
      <c r="G144" s="36"/>
      <c r="H144" s="36"/>
      <c r="I144" s="36"/>
      <c r="J144" s="36"/>
      <c r="K144" s="2"/>
      <c r="L144" s="2"/>
      <c r="M144" s="2"/>
      <c r="N144" s="36"/>
      <c r="O144" s="36"/>
      <c r="P144" s="2"/>
      <c r="Q144" s="2"/>
      <c r="R144" s="2"/>
      <c r="S144" s="2"/>
      <c r="T144" s="36"/>
      <c r="U144" s="16"/>
      <c r="V144" s="36"/>
      <c r="W144" s="36"/>
      <c r="X144" s="2"/>
      <c r="Y144" s="2"/>
      <c r="Z144" s="2"/>
      <c r="AA144" s="2"/>
      <c r="AB144" s="36"/>
      <c r="AC144" s="16"/>
      <c r="AD144" s="36"/>
      <c r="AE144" s="36"/>
      <c r="AF144" s="2"/>
      <c r="AG144" s="2"/>
      <c r="AH144" s="2"/>
      <c r="AI144" s="2"/>
      <c r="AJ144" s="36"/>
      <c r="AK144" s="16"/>
      <c r="AL144" s="36"/>
      <c r="AM144" s="36"/>
      <c r="AN144" s="2"/>
      <c r="AO144" s="2"/>
      <c r="AP144" s="2"/>
      <c r="AQ144" s="2"/>
      <c r="AR144" s="36"/>
      <c r="AS144" s="16"/>
      <c r="AT144" s="36"/>
      <c r="AU144" s="36"/>
      <c r="AV144" s="2"/>
      <c r="AW144" s="2"/>
      <c r="AX144" s="2"/>
      <c r="AY144" s="2"/>
      <c r="AZ144" s="36"/>
      <c r="BA144" s="16"/>
      <c r="BB144" s="36"/>
      <c r="BC144" s="36"/>
      <c r="BD144" s="2"/>
      <c r="BE144" s="2"/>
      <c r="BF144" s="2"/>
      <c r="BG144" s="2"/>
      <c r="BH144" s="36"/>
      <c r="BI144" s="16"/>
      <c r="BJ144" s="36"/>
      <c r="BK144" s="36"/>
      <c r="BL144" s="2"/>
      <c r="BM144" s="2"/>
      <c r="BN144" s="2"/>
      <c r="BO144" s="2"/>
      <c r="BP144" s="36"/>
      <c r="BQ144" s="16"/>
      <c r="BR144" s="16"/>
    </row>
    <row r="145" spans="2:70" ht="7.5" customHeight="1">
      <c r="B145" s="36"/>
      <c r="C145" s="317" t="s">
        <v>352</v>
      </c>
      <c r="D145" s="317"/>
      <c r="E145" s="317"/>
      <c r="F145" s="317"/>
      <c r="G145" s="317"/>
      <c r="H145" s="317"/>
      <c r="I145" s="317"/>
      <c r="J145" s="317"/>
      <c r="K145" s="317"/>
      <c r="L145" s="317"/>
      <c r="M145" s="317"/>
      <c r="N145" s="318">
        <f>IF(ISNUMBER($N$130),$N$130/0.45359237,"")</f>
        <v>50.70632030252184</v>
      </c>
      <c r="O145" s="318"/>
      <c r="P145" s="318"/>
      <c r="Q145" s="318"/>
      <c r="R145" s="318"/>
      <c r="S145" s="309" t="s">
        <v>78</v>
      </c>
      <c r="T145" s="309"/>
      <c r="U145" s="16"/>
      <c r="V145" s="311"/>
      <c r="W145" s="311"/>
      <c r="X145" s="311"/>
      <c r="Y145" s="311"/>
      <c r="Z145" s="311"/>
      <c r="AA145" s="309" t="s">
        <v>78</v>
      </c>
      <c r="AB145" s="309"/>
      <c r="AC145" s="16"/>
      <c r="AD145" s="311"/>
      <c r="AE145" s="311"/>
      <c r="AF145" s="311"/>
      <c r="AG145" s="311"/>
      <c r="AH145" s="311"/>
      <c r="AI145" s="309" t="s">
        <v>78</v>
      </c>
      <c r="AJ145" s="309"/>
      <c r="AK145" s="16"/>
      <c r="AL145" s="311"/>
      <c r="AM145" s="311"/>
      <c r="AN145" s="311"/>
      <c r="AO145" s="311"/>
      <c r="AP145" s="311"/>
      <c r="AQ145" s="309" t="s">
        <v>78</v>
      </c>
      <c r="AR145" s="309"/>
      <c r="AS145" s="16"/>
      <c r="AT145" s="311"/>
      <c r="AU145" s="311"/>
      <c r="AV145" s="311"/>
      <c r="AW145" s="311"/>
      <c r="AX145" s="311"/>
      <c r="AY145" s="309" t="s">
        <v>78</v>
      </c>
      <c r="AZ145" s="309"/>
      <c r="BA145" s="16"/>
      <c r="BB145" s="311"/>
      <c r="BC145" s="311"/>
      <c r="BD145" s="311"/>
      <c r="BE145" s="311"/>
      <c r="BF145" s="311"/>
      <c r="BG145" s="309" t="s">
        <v>78</v>
      </c>
      <c r="BH145" s="309"/>
      <c r="BI145" s="16"/>
      <c r="BJ145" s="311"/>
      <c r="BK145" s="311"/>
      <c r="BL145" s="311"/>
      <c r="BM145" s="311"/>
      <c r="BN145" s="311"/>
      <c r="BO145" s="309" t="s">
        <v>78</v>
      </c>
      <c r="BP145" s="309"/>
      <c r="BQ145" s="16"/>
      <c r="BR145" s="16"/>
    </row>
    <row r="146" spans="2:70" ht="7.5" customHeight="1">
      <c r="B146" s="36"/>
      <c r="C146" s="317"/>
      <c r="D146" s="317"/>
      <c r="E146" s="317"/>
      <c r="F146" s="317"/>
      <c r="G146" s="317"/>
      <c r="H146" s="317"/>
      <c r="I146" s="317"/>
      <c r="J146" s="317"/>
      <c r="K146" s="317"/>
      <c r="L146" s="317"/>
      <c r="M146" s="317"/>
      <c r="N146" s="318"/>
      <c r="O146" s="318"/>
      <c r="P146" s="318"/>
      <c r="Q146" s="318"/>
      <c r="R146" s="318"/>
      <c r="S146" s="309"/>
      <c r="T146" s="309"/>
      <c r="U146" s="16"/>
      <c r="V146" s="311"/>
      <c r="W146" s="311"/>
      <c r="X146" s="311"/>
      <c r="Y146" s="311"/>
      <c r="Z146" s="311"/>
      <c r="AA146" s="309"/>
      <c r="AB146" s="309"/>
      <c r="AC146" s="16"/>
      <c r="AD146" s="311"/>
      <c r="AE146" s="311"/>
      <c r="AF146" s="311"/>
      <c r="AG146" s="311"/>
      <c r="AH146" s="311"/>
      <c r="AI146" s="309"/>
      <c r="AJ146" s="309"/>
      <c r="AK146" s="16"/>
      <c r="AL146" s="311"/>
      <c r="AM146" s="311"/>
      <c r="AN146" s="311"/>
      <c r="AO146" s="311"/>
      <c r="AP146" s="311"/>
      <c r="AQ146" s="309"/>
      <c r="AR146" s="309"/>
      <c r="AS146" s="16"/>
      <c r="AT146" s="311"/>
      <c r="AU146" s="311"/>
      <c r="AV146" s="311"/>
      <c r="AW146" s="311"/>
      <c r="AX146" s="311"/>
      <c r="AY146" s="309"/>
      <c r="AZ146" s="309"/>
      <c r="BA146" s="16"/>
      <c r="BB146" s="311"/>
      <c r="BC146" s="311"/>
      <c r="BD146" s="311"/>
      <c r="BE146" s="311"/>
      <c r="BF146" s="311"/>
      <c r="BG146" s="309"/>
      <c r="BH146" s="309"/>
      <c r="BI146" s="16"/>
      <c r="BJ146" s="311"/>
      <c r="BK146" s="311"/>
      <c r="BL146" s="311"/>
      <c r="BM146" s="311"/>
      <c r="BN146" s="311"/>
      <c r="BO146" s="309"/>
      <c r="BP146" s="309"/>
      <c r="BQ146" s="16"/>
      <c r="BR146" s="16"/>
    </row>
    <row r="147" spans="2:70" ht="7.5" customHeight="1">
      <c r="B147" s="36"/>
      <c r="C147" s="2"/>
      <c r="D147" s="2"/>
      <c r="E147" s="2"/>
      <c r="F147" s="2"/>
      <c r="G147" s="36"/>
      <c r="H147" s="36"/>
      <c r="I147" s="36"/>
      <c r="J147" s="36"/>
      <c r="K147" s="2"/>
      <c r="L147" s="2"/>
      <c r="M147" s="2"/>
      <c r="N147" s="36"/>
      <c r="O147" s="36"/>
      <c r="P147" s="2"/>
      <c r="Q147" s="2"/>
      <c r="R147" s="2"/>
      <c r="S147" s="2"/>
      <c r="T147" s="36"/>
      <c r="U147" s="16"/>
      <c r="V147" s="36"/>
      <c r="W147" s="36"/>
      <c r="X147" s="2"/>
      <c r="Y147" s="2"/>
      <c r="Z147" s="2"/>
      <c r="AA147" s="2"/>
      <c r="AB147" s="36"/>
      <c r="AC147" s="16"/>
      <c r="AD147" s="36"/>
      <c r="AE147" s="36"/>
      <c r="AF147" s="2"/>
      <c r="AG147" s="2"/>
      <c r="AH147" s="2"/>
      <c r="AI147" s="2"/>
      <c r="AJ147" s="36"/>
      <c r="AK147" s="16"/>
      <c r="AL147" s="36"/>
      <c r="AM147" s="36"/>
      <c r="AN147" s="2"/>
      <c r="AO147" s="2"/>
      <c r="AP147" s="2"/>
      <c r="AQ147" s="2"/>
      <c r="AR147" s="36"/>
      <c r="AS147" s="16"/>
      <c r="AT147" s="36"/>
      <c r="AU147" s="36"/>
      <c r="AV147" s="2"/>
      <c r="AW147" s="2"/>
      <c r="AX147" s="2"/>
      <c r="AY147" s="2"/>
      <c r="AZ147" s="36"/>
      <c r="BA147" s="16"/>
      <c r="BB147" s="36"/>
      <c r="BC147" s="36"/>
      <c r="BD147" s="2"/>
      <c r="BE147" s="2"/>
      <c r="BF147" s="2"/>
      <c r="BG147" s="2"/>
      <c r="BH147" s="36"/>
      <c r="BI147" s="16"/>
      <c r="BJ147" s="36"/>
      <c r="BK147" s="36"/>
      <c r="BL147" s="2"/>
      <c r="BM147" s="2"/>
      <c r="BN147" s="2"/>
      <c r="BO147" s="2"/>
      <c r="BP147" s="36"/>
      <c r="BQ147" s="16"/>
      <c r="BR147" s="16"/>
    </row>
    <row r="148" spans="2:70" ht="7.5" customHeight="1">
      <c r="B148" s="36"/>
      <c r="C148" s="314" t="s">
        <v>353</v>
      </c>
      <c r="D148" s="314"/>
      <c r="E148" s="314"/>
      <c r="F148" s="314"/>
      <c r="G148" s="314"/>
      <c r="H148" s="314"/>
      <c r="I148" s="314"/>
      <c r="J148" s="314"/>
      <c r="K148" s="314"/>
      <c r="L148" s="314"/>
      <c r="M148" s="314"/>
      <c r="N148" s="264">
        <f>IF(ISNUMBER($N$133),$N$133,"")</f>
        <v>1.05</v>
      </c>
      <c r="O148" s="264"/>
      <c r="P148" s="264"/>
      <c r="Q148" s="264"/>
      <c r="R148" s="264"/>
      <c r="S148" s="110"/>
      <c r="T148" s="110"/>
      <c r="U148" s="36"/>
      <c r="V148" s="221"/>
      <c r="W148" s="221"/>
      <c r="X148" s="221"/>
      <c r="Y148" s="221"/>
      <c r="Z148" s="221"/>
      <c r="AA148" s="110"/>
      <c r="AB148" s="110"/>
      <c r="AC148" s="36"/>
      <c r="AD148" s="221"/>
      <c r="AE148" s="221"/>
      <c r="AF148" s="221"/>
      <c r="AG148" s="221"/>
      <c r="AH148" s="221"/>
      <c r="AI148" s="110"/>
      <c r="AJ148" s="110"/>
      <c r="AK148" s="36"/>
      <c r="AL148" s="221"/>
      <c r="AM148" s="221"/>
      <c r="AN148" s="221"/>
      <c r="AO148" s="221"/>
      <c r="AP148" s="221"/>
      <c r="AQ148" s="110"/>
      <c r="AR148" s="110"/>
      <c r="AS148" s="36"/>
      <c r="AT148" s="221"/>
      <c r="AU148" s="221"/>
      <c r="AV148" s="221"/>
      <c r="AW148" s="221"/>
      <c r="AX148" s="221"/>
      <c r="AY148" s="110"/>
      <c r="AZ148" s="110"/>
      <c r="BA148" s="36"/>
      <c r="BB148" s="221"/>
      <c r="BC148" s="221"/>
      <c r="BD148" s="221"/>
      <c r="BE148" s="221"/>
      <c r="BF148" s="221"/>
      <c r="BG148" s="110"/>
      <c r="BH148" s="110"/>
      <c r="BI148" s="36"/>
      <c r="BJ148" s="221"/>
      <c r="BK148" s="221"/>
      <c r="BL148" s="221"/>
      <c r="BM148" s="221"/>
      <c r="BN148" s="221"/>
      <c r="BO148" s="110"/>
      <c r="BP148" s="110"/>
      <c r="BQ148" s="36"/>
      <c r="BR148" s="36"/>
    </row>
    <row r="149" spans="2:70" ht="7.5" customHeight="1">
      <c r="B149" s="36"/>
      <c r="C149" s="314"/>
      <c r="D149" s="314"/>
      <c r="E149" s="314"/>
      <c r="F149" s="314"/>
      <c r="G149" s="314"/>
      <c r="H149" s="314"/>
      <c r="I149" s="314"/>
      <c r="J149" s="314"/>
      <c r="K149" s="314"/>
      <c r="L149" s="314"/>
      <c r="M149" s="314"/>
      <c r="N149" s="264"/>
      <c r="O149" s="264"/>
      <c r="P149" s="264"/>
      <c r="Q149" s="264"/>
      <c r="R149" s="264"/>
      <c r="S149" s="110"/>
      <c r="T149" s="110"/>
      <c r="U149" s="36"/>
      <c r="V149" s="221"/>
      <c r="W149" s="221"/>
      <c r="X149" s="221"/>
      <c r="Y149" s="221"/>
      <c r="Z149" s="221"/>
      <c r="AA149" s="110"/>
      <c r="AB149" s="110"/>
      <c r="AC149" s="36"/>
      <c r="AD149" s="221"/>
      <c r="AE149" s="221"/>
      <c r="AF149" s="221"/>
      <c r="AG149" s="221"/>
      <c r="AH149" s="221"/>
      <c r="AI149" s="110"/>
      <c r="AJ149" s="110"/>
      <c r="AK149" s="36"/>
      <c r="AL149" s="221"/>
      <c r="AM149" s="221"/>
      <c r="AN149" s="221"/>
      <c r="AO149" s="221"/>
      <c r="AP149" s="221"/>
      <c r="AQ149" s="110"/>
      <c r="AR149" s="110"/>
      <c r="AS149" s="36"/>
      <c r="AT149" s="221"/>
      <c r="AU149" s="221"/>
      <c r="AV149" s="221"/>
      <c r="AW149" s="221"/>
      <c r="AX149" s="221"/>
      <c r="AY149" s="110"/>
      <c r="AZ149" s="110"/>
      <c r="BA149" s="36"/>
      <c r="BB149" s="221"/>
      <c r="BC149" s="221"/>
      <c r="BD149" s="221"/>
      <c r="BE149" s="221"/>
      <c r="BF149" s="221"/>
      <c r="BG149" s="110"/>
      <c r="BH149" s="110"/>
      <c r="BI149" s="36"/>
      <c r="BJ149" s="221"/>
      <c r="BK149" s="221"/>
      <c r="BL149" s="221"/>
      <c r="BM149" s="221"/>
      <c r="BN149" s="221"/>
      <c r="BO149" s="110"/>
      <c r="BP149" s="110"/>
      <c r="BQ149" s="36"/>
      <c r="BR149" s="36"/>
    </row>
    <row r="150" spans="2:70" ht="7.5" customHeight="1">
      <c r="B150" s="36"/>
      <c r="C150" s="2"/>
      <c r="D150" s="2"/>
      <c r="E150" s="2"/>
      <c r="F150" s="2"/>
      <c r="G150" s="36"/>
      <c r="H150" s="36"/>
      <c r="I150" s="36"/>
      <c r="J150" s="36"/>
      <c r="K150" s="2"/>
      <c r="L150" s="2"/>
      <c r="M150" s="2"/>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row>
    <row r="151" spans="2:70" ht="7.5" customHeight="1">
      <c r="B151" s="36"/>
      <c r="C151" s="314" t="s">
        <v>354</v>
      </c>
      <c r="D151" s="314"/>
      <c r="E151" s="314"/>
      <c r="F151" s="314"/>
      <c r="G151" s="314"/>
      <c r="H151" s="314"/>
      <c r="I151" s="314"/>
      <c r="J151" s="314"/>
      <c r="K151" s="314"/>
      <c r="L151" s="314"/>
      <c r="M151" s="314"/>
      <c r="N151" s="310">
        <f>IF(ISNUMBER($N$136),$N$136*0.2641720523582,"")</f>
        <v>5.66082969339</v>
      </c>
      <c r="O151" s="310"/>
      <c r="P151" s="310"/>
      <c r="Q151" s="310"/>
      <c r="R151" s="310"/>
      <c r="S151" s="309" t="s">
        <v>51</v>
      </c>
      <c r="T151" s="309"/>
      <c r="U151" s="36"/>
      <c r="V151" s="310">
        <f>IF(AND(ISNUMBER(V142),ISNUMBER(V145),ISNUMBER(V148)),(V145-V142)*0.45359237/V148*0.2641720523582,"")</f>
      </c>
      <c r="W151" s="310"/>
      <c r="X151" s="310"/>
      <c r="Y151" s="310"/>
      <c r="Z151" s="310"/>
      <c r="AA151" s="309" t="s">
        <v>51</v>
      </c>
      <c r="AB151" s="309"/>
      <c r="AC151" s="36"/>
      <c r="AD151" s="310">
        <f>IF(AND(ISNUMBER(AD142),ISNUMBER(AD145),ISNUMBER(AD148)),(AD145-AD142)*0.45359237/AD148*0.2641720523582,"")</f>
      </c>
      <c r="AE151" s="310"/>
      <c r="AF151" s="310"/>
      <c r="AG151" s="310"/>
      <c r="AH151" s="310"/>
      <c r="AI151" s="309" t="s">
        <v>51</v>
      </c>
      <c r="AJ151" s="309"/>
      <c r="AK151" s="36"/>
      <c r="AL151" s="310">
        <f>IF(AND(ISNUMBER(AL142),ISNUMBER(AL145),ISNUMBER(AL148)),(AL145-AL142)*0.45359237/AL148*0.2641720523582,"")</f>
      </c>
      <c r="AM151" s="310"/>
      <c r="AN151" s="310"/>
      <c r="AO151" s="310"/>
      <c r="AP151" s="310"/>
      <c r="AQ151" s="309" t="s">
        <v>51</v>
      </c>
      <c r="AR151" s="309"/>
      <c r="AS151" s="36"/>
      <c r="AT151" s="310">
        <f>IF(AND(ISNUMBER(AT142),ISNUMBER(AT145),ISNUMBER(AT148)),(AT145-AT142)*0.45359237/AT148*0.2641720523582,"")</f>
      </c>
      <c r="AU151" s="310"/>
      <c r="AV151" s="310"/>
      <c r="AW151" s="310"/>
      <c r="AX151" s="310"/>
      <c r="AY151" s="309" t="s">
        <v>51</v>
      </c>
      <c r="AZ151" s="309"/>
      <c r="BA151" s="36"/>
      <c r="BB151" s="310">
        <f>IF(AND(ISNUMBER(BB142),ISNUMBER(BB145),ISNUMBER(BB148)),(BB145-BB142)*0.45359237/BB148*0.2641720523582,"")</f>
      </c>
      <c r="BC151" s="310"/>
      <c r="BD151" s="310"/>
      <c r="BE151" s="310"/>
      <c r="BF151" s="310"/>
      <c r="BG151" s="309" t="s">
        <v>51</v>
      </c>
      <c r="BH151" s="309"/>
      <c r="BI151" s="36"/>
      <c r="BJ151" s="310">
        <f>IF(AND(ISNUMBER(BJ142),ISNUMBER(BJ145),ISNUMBER(BJ148)),(BJ145-BJ142)*0.45359237/BJ148*0.2641720523582,"")</f>
      </c>
      <c r="BK151" s="310"/>
      <c r="BL151" s="310"/>
      <c r="BM151" s="310"/>
      <c r="BN151" s="310"/>
      <c r="BO151" s="309" t="s">
        <v>51</v>
      </c>
      <c r="BP151" s="309"/>
      <c r="BQ151" s="36"/>
      <c r="BR151" s="36"/>
    </row>
    <row r="152" spans="2:70" ht="7.5" customHeight="1">
      <c r="B152" s="36"/>
      <c r="C152" s="314"/>
      <c r="D152" s="314"/>
      <c r="E152" s="314"/>
      <c r="F152" s="314"/>
      <c r="G152" s="314"/>
      <c r="H152" s="314"/>
      <c r="I152" s="314"/>
      <c r="J152" s="314"/>
      <c r="K152" s="314"/>
      <c r="L152" s="314"/>
      <c r="M152" s="314"/>
      <c r="N152" s="310"/>
      <c r="O152" s="310"/>
      <c r="P152" s="310"/>
      <c r="Q152" s="310"/>
      <c r="R152" s="310"/>
      <c r="S152" s="309"/>
      <c r="T152" s="309"/>
      <c r="U152" s="36"/>
      <c r="V152" s="310"/>
      <c r="W152" s="310"/>
      <c r="X152" s="310"/>
      <c r="Y152" s="310"/>
      <c r="Z152" s="310"/>
      <c r="AA152" s="309"/>
      <c r="AB152" s="309"/>
      <c r="AC152" s="36"/>
      <c r="AD152" s="310"/>
      <c r="AE152" s="310"/>
      <c r="AF152" s="310"/>
      <c r="AG152" s="310"/>
      <c r="AH152" s="310"/>
      <c r="AI152" s="309"/>
      <c r="AJ152" s="309"/>
      <c r="AK152" s="36"/>
      <c r="AL152" s="310"/>
      <c r="AM152" s="310"/>
      <c r="AN152" s="310"/>
      <c r="AO152" s="310"/>
      <c r="AP152" s="310"/>
      <c r="AQ152" s="309"/>
      <c r="AR152" s="309"/>
      <c r="AS152" s="36"/>
      <c r="AT152" s="310"/>
      <c r="AU152" s="310"/>
      <c r="AV152" s="310"/>
      <c r="AW152" s="310"/>
      <c r="AX152" s="310"/>
      <c r="AY152" s="309"/>
      <c r="AZ152" s="309"/>
      <c r="BA152" s="36"/>
      <c r="BB152" s="310"/>
      <c r="BC152" s="310"/>
      <c r="BD152" s="310"/>
      <c r="BE152" s="310"/>
      <c r="BF152" s="310"/>
      <c r="BG152" s="309"/>
      <c r="BH152" s="309"/>
      <c r="BI152" s="36"/>
      <c r="BJ152" s="310"/>
      <c r="BK152" s="310"/>
      <c r="BL152" s="310"/>
      <c r="BM152" s="310"/>
      <c r="BN152" s="310"/>
      <c r="BO152" s="309"/>
      <c r="BP152" s="309"/>
      <c r="BQ152" s="36"/>
      <c r="BR152" s="36"/>
    </row>
    <row r="153" spans="2:70" ht="7.5" customHeight="1">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row>
    <row r="154" spans="2:70" ht="7.5" customHeight="1">
      <c r="B154" s="36"/>
      <c r="C154" s="274" t="s">
        <v>359</v>
      </c>
      <c r="D154" s="274"/>
      <c r="E154" s="274"/>
      <c r="F154" s="274"/>
      <c r="G154" s="274"/>
      <c r="H154" s="274"/>
      <c r="I154" s="274"/>
      <c r="J154" s="274"/>
      <c r="K154" s="274"/>
      <c r="L154" s="274"/>
      <c r="M154" s="274"/>
      <c r="N154" s="274"/>
      <c r="O154" s="274"/>
      <c r="P154" s="274"/>
      <c r="Q154" s="274"/>
      <c r="R154" s="274"/>
      <c r="S154" s="274"/>
      <c r="T154" s="274"/>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row>
    <row r="155" spans="2:70" ht="7.5" customHeight="1">
      <c r="B155" s="36"/>
      <c r="C155" s="274"/>
      <c r="D155" s="274"/>
      <c r="E155" s="274"/>
      <c r="F155" s="274"/>
      <c r="G155" s="274"/>
      <c r="H155" s="274"/>
      <c r="I155" s="274"/>
      <c r="J155" s="274"/>
      <c r="K155" s="274"/>
      <c r="L155" s="274"/>
      <c r="M155" s="274"/>
      <c r="N155" s="274"/>
      <c r="O155" s="274"/>
      <c r="P155" s="274"/>
      <c r="Q155" s="274"/>
      <c r="R155" s="274"/>
      <c r="S155" s="274"/>
      <c r="T155" s="274"/>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row>
    <row r="156" spans="2:70" ht="7.5" customHeight="1">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row>
    <row r="157" spans="2:70" ht="7.5" customHeight="1">
      <c r="B157" s="36"/>
      <c r="C157" s="317" t="s">
        <v>355</v>
      </c>
      <c r="D157" s="317"/>
      <c r="E157" s="317"/>
      <c r="F157" s="317"/>
      <c r="G157" s="317"/>
      <c r="H157" s="317"/>
      <c r="I157" s="317"/>
      <c r="J157" s="317"/>
      <c r="K157" s="317"/>
      <c r="L157" s="317"/>
      <c r="M157" s="317"/>
      <c r="N157" s="318">
        <f>IF(ISNUMBER($N$127),$N$127/0.45359237,"")</f>
        <v>1.1023113109243878</v>
      </c>
      <c r="O157" s="318"/>
      <c r="P157" s="318"/>
      <c r="Q157" s="318"/>
      <c r="R157" s="318"/>
      <c r="S157" s="309" t="s">
        <v>78</v>
      </c>
      <c r="T157" s="309"/>
      <c r="U157" s="36"/>
      <c r="V157" s="311"/>
      <c r="W157" s="311"/>
      <c r="X157" s="311"/>
      <c r="Y157" s="311"/>
      <c r="Z157" s="311"/>
      <c r="AA157" s="309" t="s">
        <v>78</v>
      </c>
      <c r="AB157" s="309"/>
      <c r="AC157" s="16"/>
      <c r="AD157" s="311"/>
      <c r="AE157" s="311"/>
      <c r="AF157" s="311"/>
      <c r="AG157" s="311"/>
      <c r="AH157" s="311"/>
      <c r="AI157" s="309" t="s">
        <v>78</v>
      </c>
      <c r="AJ157" s="309"/>
      <c r="AK157" s="36"/>
      <c r="AL157" s="311"/>
      <c r="AM157" s="311"/>
      <c r="AN157" s="311"/>
      <c r="AO157" s="311"/>
      <c r="AP157" s="311"/>
      <c r="AQ157" s="309" t="s">
        <v>78</v>
      </c>
      <c r="AR157" s="309"/>
      <c r="AS157" s="36"/>
      <c r="AT157" s="311"/>
      <c r="AU157" s="311"/>
      <c r="AV157" s="311"/>
      <c r="AW157" s="311"/>
      <c r="AX157" s="311"/>
      <c r="AY157" s="309" t="s">
        <v>78</v>
      </c>
      <c r="AZ157" s="309"/>
      <c r="BA157" s="16"/>
      <c r="BB157" s="311"/>
      <c r="BC157" s="311"/>
      <c r="BD157" s="311"/>
      <c r="BE157" s="311"/>
      <c r="BF157" s="311"/>
      <c r="BG157" s="309" t="s">
        <v>78</v>
      </c>
      <c r="BH157" s="309"/>
      <c r="BI157" s="16"/>
      <c r="BJ157" s="311"/>
      <c r="BK157" s="311"/>
      <c r="BL157" s="311"/>
      <c r="BM157" s="311"/>
      <c r="BN157" s="311"/>
      <c r="BO157" s="309" t="s">
        <v>78</v>
      </c>
      <c r="BP157" s="309"/>
      <c r="BQ157" s="36"/>
      <c r="BR157" s="36"/>
    </row>
    <row r="158" spans="2:70" ht="7.5" customHeight="1">
      <c r="B158" s="36"/>
      <c r="C158" s="317"/>
      <c r="D158" s="317"/>
      <c r="E158" s="317"/>
      <c r="F158" s="317"/>
      <c r="G158" s="317"/>
      <c r="H158" s="317"/>
      <c r="I158" s="317"/>
      <c r="J158" s="317"/>
      <c r="K158" s="317"/>
      <c r="L158" s="317"/>
      <c r="M158" s="317"/>
      <c r="N158" s="318"/>
      <c r="O158" s="318"/>
      <c r="P158" s="318"/>
      <c r="Q158" s="318"/>
      <c r="R158" s="318"/>
      <c r="S158" s="309"/>
      <c r="T158" s="309"/>
      <c r="U158" s="36"/>
      <c r="V158" s="311"/>
      <c r="W158" s="311"/>
      <c r="X158" s="311"/>
      <c r="Y158" s="311"/>
      <c r="Z158" s="311"/>
      <c r="AA158" s="309"/>
      <c r="AB158" s="309"/>
      <c r="AC158" s="16"/>
      <c r="AD158" s="311"/>
      <c r="AE158" s="311"/>
      <c r="AF158" s="311"/>
      <c r="AG158" s="311"/>
      <c r="AH158" s="311"/>
      <c r="AI158" s="309"/>
      <c r="AJ158" s="309"/>
      <c r="AK158" s="36"/>
      <c r="AL158" s="311"/>
      <c r="AM158" s="311"/>
      <c r="AN158" s="311"/>
      <c r="AO158" s="311"/>
      <c r="AP158" s="311"/>
      <c r="AQ158" s="309"/>
      <c r="AR158" s="309"/>
      <c r="AS158" s="36"/>
      <c r="AT158" s="311"/>
      <c r="AU158" s="311"/>
      <c r="AV158" s="311"/>
      <c r="AW158" s="311"/>
      <c r="AX158" s="311"/>
      <c r="AY158" s="309"/>
      <c r="AZ158" s="309"/>
      <c r="BA158" s="16"/>
      <c r="BB158" s="311"/>
      <c r="BC158" s="311"/>
      <c r="BD158" s="311"/>
      <c r="BE158" s="311"/>
      <c r="BF158" s="311"/>
      <c r="BG158" s="309"/>
      <c r="BH158" s="309"/>
      <c r="BI158" s="16"/>
      <c r="BJ158" s="311"/>
      <c r="BK158" s="311"/>
      <c r="BL158" s="311"/>
      <c r="BM158" s="311"/>
      <c r="BN158" s="311"/>
      <c r="BO158" s="309"/>
      <c r="BP158" s="309"/>
      <c r="BQ158" s="36"/>
      <c r="BR158" s="36"/>
    </row>
    <row r="159" spans="2:70" ht="7.5" customHeight="1">
      <c r="B159" s="36"/>
      <c r="C159" s="2"/>
      <c r="D159" s="2"/>
      <c r="E159" s="2"/>
      <c r="F159" s="2"/>
      <c r="G159" s="36"/>
      <c r="H159" s="36"/>
      <c r="I159" s="36"/>
      <c r="J159" s="36"/>
      <c r="K159" s="2"/>
      <c r="L159" s="2"/>
      <c r="M159" s="2"/>
      <c r="N159" s="36"/>
      <c r="O159" s="36"/>
      <c r="P159" s="2"/>
      <c r="Q159" s="2"/>
      <c r="R159" s="2"/>
      <c r="S159" s="2"/>
      <c r="T159" s="36"/>
      <c r="U159" s="36"/>
      <c r="V159" s="36"/>
      <c r="W159" s="36"/>
      <c r="X159" s="2"/>
      <c r="Y159" s="2"/>
      <c r="Z159" s="2"/>
      <c r="AA159" s="2"/>
      <c r="AB159" s="36"/>
      <c r="AC159" s="16"/>
      <c r="AD159" s="36"/>
      <c r="AE159" s="36"/>
      <c r="AF159" s="2"/>
      <c r="AG159" s="2"/>
      <c r="AH159" s="2"/>
      <c r="AI159" s="2"/>
      <c r="AJ159" s="36"/>
      <c r="AK159" s="16"/>
      <c r="AL159" s="36"/>
      <c r="AM159" s="36"/>
      <c r="AN159" s="2"/>
      <c r="AO159" s="2"/>
      <c r="AP159" s="2"/>
      <c r="AQ159" s="2"/>
      <c r="AR159" s="36"/>
      <c r="AS159" s="16"/>
      <c r="AT159" s="36"/>
      <c r="AU159" s="36"/>
      <c r="AV159" s="2"/>
      <c r="AW159" s="2"/>
      <c r="AX159" s="2"/>
      <c r="AY159" s="2"/>
      <c r="AZ159" s="36"/>
      <c r="BA159" s="16"/>
      <c r="BB159" s="36"/>
      <c r="BC159" s="36"/>
      <c r="BD159" s="2"/>
      <c r="BE159" s="2"/>
      <c r="BF159" s="2"/>
      <c r="BG159" s="2"/>
      <c r="BH159" s="36"/>
      <c r="BI159" s="16"/>
      <c r="BJ159" s="36"/>
      <c r="BK159" s="36"/>
      <c r="BL159" s="2"/>
      <c r="BM159" s="2"/>
      <c r="BN159" s="2"/>
      <c r="BO159" s="2"/>
      <c r="BP159" s="36"/>
      <c r="BQ159" s="36"/>
      <c r="BR159" s="36"/>
    </row>
    <row r="160" spans="2:70" ht="7.5" customHeight="1">
      <c r="B160" s="36"/>
      <c r="C160" s="317" t="s">
        <v>352</v>
      </c>
      <c r="D160" s="317"/>
      <c r="E160" s="317"/>
      <c r="F160" s="317"/>
      <c r="G160" s="317"/>
      <c r="H160" s="317"/>
      <c r="I160" s="317"/>
      <c r="J160" s="317"/>
      <c r="K160" s="317"/>
      <c r="L160" s="317"/>
      <c r="M160" s="317"/>
      <c r="N160" s="318">
        <f>IF(ISNUMBER($N$130),$N$130/0.45359237,"")</f>
        <v>50.70632030252184</v>
      </c>
      <c r="O160" s="318"/>
      <c r="P160" s="318"/>
      <c r="Q160" s="318"/>
      <c r="R160" s="318"/>
      <c r="S160" s="309" t="s">
        <v>78</v>
      </c>
      <c r="T160" s="309"/>
      <c r="U160" s="36"/>
      <c r="V160" s="311"/>
      <c r="W160" s="311"/>
      <c r="X160" s="311"/>
      <c r="Y160" s="311"/>
      <c r="Z160" s="311"/>
      <c r="AA160" s="309" t="s">
        <v>78</v>
      </c>
      <c r="AB160" s="309"/>
      <c r="AC160" s="16"/>
      <c r="AD160" s="311"/>
      <c r="AE160" s="311"/>
      <c r="AF160" s="311"/>
      <c r="AG160" s="311"/>
      <c r="AH160" s="311"/>
      <c r="AI160" s="309" t="s">
        <v>78</v>
      </c>
      <c r="AJ160" s="309"/>
      <c r="AK160" s="16"/>
      <c r="AL160" s="311"/>
      <c r="AM160" s="311"/>
      <c r="AN160" s="311"/>
      <c r="AO160" s="311"/>
      <c r="AP160" s="311"/>
      <c r="AQ160" s="309" t="s">
        <v>78</v>
      </c>
      <c r="AR160" s="309"/>
      <c r="AS160" s="16"/>
      <c r="AT160" s="311"/>
      <c r="AU160" s="311"/>
      <c r="AV160" s="311"/>
      <c r="AW160" s="311"/>
      <c r="AX160" s="311"/>
      <c r="AY160" s="309" t="s">
        <v>78</v>
      </c>
      <c r="AZ160" s="309"/>
      <c r="BA160" s="16"/>
      <c r="BB160" s="311"/>
      <c r="BC160" s="311"/>
      <c r="BD160" s="311"/>
      <c r="BE160" s="311"/>
      <c r="BF160" s="311"/>
      <c r="BG160" s="309" t="s">
        <v>78</v>
      </c>
      <c r="BH160" s="309"/>
      <c r="BI160" s="16"/>
      <c r="BJ160" s="311"/>
      <c r="BK160" s="311"/>
      <c r="BL160" s="311"/>
      <c r="BM160" s="311"/>
      <c r="BN160" s="311"/>
      <c r="BO160" s="309" t="s">
        <v>78</v>
      </c>
      <c r="BP160" s="309"/>
      <c r="BQ160" s="36"/>
      <c r="BR160" s="36"/>
    </row>
    <row r="161" spans="2:70" ht="7.5" customHeight="1">
      <c r="B161" s="36"/>
      <c r="C161" s="317"/>
      <c r="D161" s="317"/>
      <c r="E161" s="317"/>
      <c r="F161" s="317"/>
      <c r="G161" s="317"/>
      <c r="H161" s="317"/>
      <c r="I161" s="317"/>
      <c r="J161" s="317"/>
      <c r="K161" s="317"/>
      <c r="L161" s="317"/>
      <c r="M161" s="317"/>
      <c r="N161" s="318"/>
      <c r="O161" s="318"/>
      <c r="P161" s="318"/>
      <c r="Q161" s="318"/>
      <c r="R161" s="318"/>
      <c r="S161" s="309"/>
      <c r="T161" s="309"/>
      <c r="U161" s="36"/>
      <c r="V161" s="311"/>
      <c r="W161" s="311"/>
      <c r="X161" s="311"/>
      <c r="Y161" s="311"/>
      <c r="Z161" s="311"/>
      <c r="AA161" s="309"/>
      <c r="AB161" s="309"/>
      <c r="AC161" s="16"/>
      <c r="AD161" s="311"/>
      <c r="AE161" s="311"/>
      <c r="AF161" s="311"/>
      <c r="AG161" s="311"/>
      <c r="AH161" s="311"/>
      <c r="AI161" s="309"/>
      <c r="AJ161" s="309"/>
      <c r="AK161" s="16"/>
      <c r="AL161" s="311"/>
      <c r="AM161" s="311"/>
      <c r="AN161" s="311"/>
      <c r="AO161" s="311"/>
      <c r="AP161" s="311"/>
      <c r="AQ161" s="309"/>
      <c r="AR161" s="309"/>
      <c r="AS161" s="16"/>
      <c r="AT161" s="311"/>
      <c r="AU161" s="311"/>
      <c r="AV161" s="311"/>
      <c r="AW161" s="311"/>
      <c r="AX161" s="311"/>
      <c r="AY161" s="309"/>
      <c r="AZ161" s="309"/>
      <c r="BA161" s="16"/>
      <c r="BB161" s="311"/>
      <c r="BC161" s="311"/>
      <c r="BD161" s="311"/>
      <c r="BE161" s="311"/>
      <c r="BF161" s="311"/>
      <c r="BG161" s="309"/>
      <c r="BH161" s="309"/>
      <c r="BI161" s="16"/>
      <c r="BJ161" s="311"/>
      <c r="BK161" s="311"/>
      <c r="BL161" s="311"/>
      <c r="BM161" s="311"/>
      <c r="BN161" s="311"/>
      <c r="BO161" s="309"/>
      <c r="BP161" s="309"/>
      <c r="BQ161" s="36"/>
      <c r="BR161" s="36"/>
    </row>
    <row r="162" spans="2:70" ht="7.5" customHeight="1">
      <c r="B162" s="36"/>
      <c r="C162" s="2"/>
      <c r="D162" s="2"/>
      <c r="E162" s="2"/>
      <c r="F162" s="2"/>
      <c r="G162" s="36"/>
      <c r="H162" s="36"/>
      <c r="I162" s="36"/>
      <c r="J162" s="36"/>
      <c r="K162" s="2"/>
      <c r="L162" s="2"/>
      <c r="M162" s="2"/>
      <c r="N162" s="36"/>
      <c r="O162" s="36"/>
      <c r="P162" s="2"/>
      <c r="Q162" s="2"/>
      <c r="R162" s="2"/>
      <c r="S162" s="2"/>
      <c r="T162" s="36"/>
      <c r="U162" s="36"/>
      <c r="V162" s="36"/>
      <c r="W162" s="36"/>
      <c r="X162" s="2"/>
      <c r="Y162" s="2"/>
      <c r="Z162" s="2"/>
      <c r="AA162" s="2"/>
      <c r="AB162" s="36"/>
      <c r="AC162" s="16"/>
      <c r="AD162" s="36"/>
      <c r="AE162" s="36"/>
      <c r="AF162" s="2"/>
      <c r="AG162" s="2"/>
      <c r="AH162" s="2"/>
      <c r="AI162" s="2"/>
      <c r="AJ162" s="36"/>
      <c r="AK162" s="16"/>
      <c r="AL162" s="36"/>
      <c r="AM162" s="36"/>
      <c r="AN162" s="2"/>
      <c r="AO162" s="2"/>
      <c r="AP162" s="2"/>
      <c r="AQ162" s="2"/>
      <c r="AR162" s="36"/>
      <c r="AS162" s="16"/>
      <c r="AT162" s="36"/>
      <c r="AU162" s="36"/>
      <c r="AV162" s="2"/>
      <c r="AW162" s="2"/>
      <c r="AX162" s="2"/>
      <c r="AY162" s="2"/>
      <c r="AZ162" s="36"/>
      <c r="BA162" s="16"/>
      <c r="BB162" s="36"/>
      <c r="BC162" s="36"/>
      <c r="BD162" s="2"/>
      <c r="BE162" s="2"/>
      <c r="BF162" s="2"/>
      <c r="BG162" s="2"/>
      <c r="BH162" s="36"/>
      <c r="BI162" s="16"/>
      <c r="BJ162" s="36"/>
      <c r="BK162" s="36"/>
      <c r="BL162" s="2"/>
      <c r="BM162" s="2"/>
      <c r="BN162" s="2"/>
      <c r="BO162" s="2"/>
      <c r="BP162" s="36"/>
      <c r="BQ162" s="36"/>
      <c r="BR162" s="36"/>
    </row>
    <row r="163" spans="2:70" ht="7.5" customHeight="1">
      <c r="B163" s="36"/>
      <c r="C163" s="314" t="s">
        <v>353</v>
      </c>
      <c r="D163" s="314"/>
      <c r="E163" s="314"/>
      <c r="F163" s="314"/>
      <c r="G163" s="314"/>
      <c r="H163" s="314"/>
      <c r="I163" s="314"/>
      <c r="J163" s="314"/>
      <c r="K163" s="314"/>
      <c r="L163" s="314"/>
      <c r="M163" s="314"/>
      <c r="N163" s="264">
        <f>IF(ISNUMBER($N$133),$N$133,"")</f>
        <v>1.05</v>
      </c>
      <c r="O163" s="264"/>
      <c r="P163" s="264"/>
      <c r="Q163" s="264"/>
      <c r="R163" s="264"/>
      <c r="S163" s="110"/>
      <c r="T163" s="110"/>
      <c r="U163" s="36"/>
      <c r="V163" s="221"/>
      <c r="W163" s="221"/>
      <c r="X163" s="221"/>
      <c r="Y163" s="221"/>
      <c r="Z163" s="221"/>
      <c r="AA163" s="110"/>
      <c r="AB163" s="110"/>
      <c r="AC163" s="36"/>
      <c r="AD163" s="221"/>
      <c r="AE163" s="221"/>
      <c r="AF163" s="221"/>
      <c r="AG163" s="221"/>
      <c r="AH163" s="221"/>
      <c r="AI163" s="110"/>
      <c r="AJ163" s="110"/>
      <c r="AK163" s="36"/>
      <c r="AL163" s="221"/>
      <c r="AM163" s="221"/>
      <c r="AN163" s="221"/>
      <c r="AO163" s="221"/>
      <c r="AP163" s="221"/>
      <c r="AQ163" s="110"/>
      <c r="AR163" s="110"/>
      <c r="AS163" s="36"/>
      <c r="AT163" s="221"/>
      <c r="AU163" s="221"/>
      <c r="AV163" s="221"/>
      <c r="AW163" s="221"/>
      <c r="AX163" s="221"/>
      <c r="AY163" s="110"/>
      <c r="AZ163" s="110"/>
      <c r="BA163" s="36"/>
      <c r="BB163" s="221"/>
      <c r="BC163" s="221"/>
      <c r="BD163" s="221"/>
      <c r="BE163" s="221"/>
      <c r="BF163" s="221"/>
      <c r="BG163" s="110"/>
      <c r="BH163" s="110"/>
      <c r="BI163" s="36"/>
      <c r="BJ163" s="221"/>
      <c r="BK163" s="221"/>
      <c r="BL163" s="221"/>
      <c r="BM163" s="221"/>
      <c r="BN163" s="221"/>
      <c r="BO163" s="110"/>
      <c r="BP163" s="110"/>
      <c r="BQ163" s="36"/>
      <c r="BR163" s="36"/>
    </row>
    <row r="164" spans="2:70" ht="7.5" customHeight="1">
      <c r="B164" s="36"/>
      <c r="C164" s="314"/>
      <c r="D164" s="314"/>
      <c r="E164" s="314"/>
      <c r="F164" s="314"/>
      <c r="G164" s="314"/>
      <c r="H164" s="314"/>
      <c r="I164" s="314"/>
      <c r="J164" s="314"/>
      <c r="K164" s="314"/>
      <c r="L164" s="314"/>
      <c r="M164" s="314"/>
      <c r="N164" s="264"/>
      <c r="O164" s="264"/>
      <c r="P164" s="264"/>
      <c r="Q164" s="264"/>
      <c r="R164" s="264"/>
      <c r="S164" s="110"/>
      <c r="T164" s="110"/>
      <c r="U164" s="36"/>
      <c r="V164" s="221"/>
      <c r="W164" s="221"/>
      <c r="X164" s="221"/>
      <c r="Y164" s="221"/>
      <c r="Z164" s="221"/>
      <c r="AA164" s="110"/>
      <c r="AB164" s="110"/>
      <c r="AC164" s="36"/>
      <c r="AD164" s="221"/>
      <c r="AE164" s="221"/>
      <c r="AF164" s="221"/>
      <c r="AG164" s="221"/>
      <c r="AH164" s="221"/>
      <c r="AI164" s="110"/>
      <c r="AJ164" s="110"/>
      <c r="AK164" s="36"/>
      <c r="AL164" s="221"/>
      <c r="AM164" s="221"/>
      <c r="AN164" s="221"/>
      <c r="AO164" s="221"/>
      <c r="AP164" s="221"/>
      <c r="AQ164" s="110"/>
      <c r="AR164" s="110"/>
      <c r="AS164" s="36"/>
      <c r="AT164" s="221"/>
      <c r="AU164" s="221"/>
      <c r="AV164" s="221"/>
      <c r="AW164" s="221"/>
      <c r="AX164" s="221"/>
      <c r="AY164" s="110"/>
      <c r="AZ164" s="110"/>
      <c r="BA164" s="36"/>
      <c r="BB164" s="221"/>
      <c r="BC164" s="221"/>
      <c r="BD164" s="221"/>
      <c r="BE164" s="221"/>
      <c r="BF164" s="221"/>
      <c r="BG164" s="110"/>
      <c r="BH164" s="110"/>
      <c r="BI164" s="36"/>
      <c r="BJ164" s="221"/>
      <c r="BK164" s="221"/>
      <c r="BL164" s="221"/>
      <c r="BM164" s="221"/>
      <c r="BN164" s="221"/>
      <c r="BO164" s="110"/>
      <c r="BP164" s="110"/>
      <c r="BQ164" s="36"/>
      <c r="BR164" s="36"/>
    </row>
    <row r="165" spans="2:70" ht="7.5" customHeight="1">
      <c r="B165" s="36"/>
      <c r="C165" s="2"/>
      <c r="D165" s="2"/>
      <c r="E165" s="2"/>
      <c r="F165" s="2"/>
      <c r="G165" s="36"/>
      <c r="H165" s="36"/>
      <c r="I165" s="36"/>
      <c r="J165" s="36"/>
      <c r="K165" s="2"/>
      <c r="L165" s="2"/>
      <c r="M165" s="2"/>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row>
    <row r="166" spans="2:70" ht="7.5" customHeight="1">
      <c r="B166" s="36"/>
      <c r="C166" s="314" t="s">
        <v>354</v>
      </c>
      <c r="D166" s="314"/>
      <c r="E166" s="314"/>
      <c r="F166" s="314"/>
      <c r="G166" s="314"/>
      <c r="H166" s="314"/>
      <c r="I166" s="314"/>
      <c r="J166" s="314"/>
      <c r="K166" s="314"/>
      <c r="L166" s="314"/>
      <c r="M166" s="314"/>
      <c r="N166" s="310">
        <f>IF(ISNUMBER($N$136),$N$136*0.2199692482991,"")</f>
        <v>4.713626749266428</v>
      </c>
      <c r="O166" s="310"/>
      <c r="P166" s="310"/>
      <c r="Q166" s="310"/>
      <c r="R166" s="310"/>
      <c r="S166" s="309" t="s">
        <v>51</v>
      </c>
      <c r="T166" s="309"/>
      <c r="U166" s="36"/>
      <c r="V166" s="310">
        <f>IF(AND(ISNUMBER(V157),ISNUMBER(V160),ISNUMBER(V163)),(V160-V157)*0.45359237/V163*0.2199692482991,"")</f>
      </c>
      <c r="W166" s="310"/>
      <c r="X166" s="310"/>
      <c r="Y166" s="310"/>
      <c r="Z166" s="310"/>
      <c r="AA166" s="309" t="s">
        <v>51</v>
      </c>
      <c r="AB166" s="309"/>
      <c r="AC166" s="36"/>
      <c r="AD166" s="310">
        <f>IF(AND(ISNUMBER(AD157),ISNUMBER(AD160),ISNUMBER(AD163)),(AD160-AD157)*0.45359237/AD163*0.2199692482991,"")</f>
      </c>
      <c r="AE166" s="310"/>
      <c r="AF166" s="310"/>
      <c r="AG166" s="310"/>
      <c r="AH166" s="310"/>
      <c r="AI166" s="309" t="s">
        <v>51</v>
      </c>
      <c r="AJ166" s="309"/>
      <c r="AK166" s="36"/>
      <c r="AL166" s="310">
        <f>IF(AND(ISNUMBER(AL157),ISNUMBER(AL160),ISNUMBER(AL163)),(AL160-AL157)*0.45359237/AL163*0.2199692482991,"")</f>
      </c>
      <c r="AM166" s="310"/>
      <c r="AN166" s="310"/>
      <c r="AO166" s="310"/>
      <c r="AP166" s="310"/>
      <c r="AQ166" s="309" t="s">
        <v>51</v>
      </c>
      <c r="AR166" s="309"/>
      <c r="AS166" s="36"/>
      <c r="AT166" s="310">
        <f>IF(AND(ISNUMBER(AT157),ISNUMBER(AT160),ISNUMBER(AT163)),(AT160-AT157)*0.45359237/AT163*0.2199692482991,"")</f>
      </c>
      <c r="AU166" s="310"/>
      <c r="AV166" s="310"/>
      <c r="AW166" s="310"/>
      <c r="AX166" s="310"/>
      <c r="AY166" s="309" t="s">
        <v>51</v>
      </c>
      <c r="AZ166" s="309"/>
      <c r="BA166" s="36"/>
      <c r="BB166" s="310">
        <f>IF(AND(ISNUMBER(BB157),ISNUMBER(BB160),ISNUMBER(BB163)),(BB160-BB157)*0.45359237/BB163*0.2199692482991,"")</f>
      </c>
      <c r="BC166" s="310"/>
      <c r="BD166" s="310"/>
      <c r="BE166" s="310"/>
      <c r="BF166" s="310"/>
      <c r="BG166" s="309" t="s">
        <v>51</v>
      </c>
      <c r="BH166" s="309"/>
      <c r="BI166" s="36"/>
      <c r="BJ166" s="310">
        <f>IF(AND(ISNUMBER(BJ157),ISNUMBER(BJ160),ISNUMBER(BJ163)),(BJ160-BJ157)*0.45359237/BJ163*0.2199692482991,"")</f>
      </c>
      <c r="BK166" s="310"/>
      <c r="BL166" s="310"/>
      <c r="BM166" s="310"/>
      <c r="BN166" s="310"/>
      <c r="BO166" s="309" t="s">
        <v>51</v>
      </c>
      <c r="BP166" s="309"/>
      <c r="BQ166" s="36"/>
      <c r="BR166" s="36"/>
    </row>
    <row r="167" spans="2:70" ht="7.5" customHeight="1">
      <c r="B167" s="36"/>
      <c r="C167" s="314"/>
      <c r="D167" s="314"/>
      <c r="E167" s="314"/>
      <c r="F167" s="314"/>
      <c r="G167" s="314"/>
      <c r="H167" s="314"/>
      <c r="I167" s="314"/>
      <c r="J167" s="314"/>
      <c r="K167" s="314"/>
      <c r="L167" s="314"/>
      <c r="M167" s="314"/>
      <c r="N167" s="310"/>
      <c r="O167" s="310"/>
      <c r="P167" s="310"/>
      <c r="Q167" s="310"/>
      <c r="R167" s="310"/>
      <c r="S167" s="309"/>
      <c r="T167" s="309"/>
      <c r="U167" s="36"/>
      <c r="V167" s="310"/>
      <c r="W167" s="310"/>
      <c r="X167" s="310"/>
      <c r="Y167" s="310"/>
      <c r="Z167" s="310"/>
      <c r="AA167" s="309"/>
      <c r="AB167" s="309"/>
      <c r="AC167" s="36"/>
      <c r="AD167" s="310"/>
      <c r="AE167" s="310"/>
      <c r="AF167" s="310"/>
      <c r="AG167" s="310"/>
      <c r="AH167" s="310"/>
      <c r="AI167" s="309"/>
      <c r="AJ167" s="309"/>
      <c r="AK167" s="36"/>
      <c r="AL167" s="310"/>
      <c r="AM167" s="310"/>
      <c r="AN167" s="310"/>
      <c r="AO167" s="310"/>
      <c r="AP167" s="310"/>
      <c r="AQ167" s="309"/>
      <c r="AR167" s="309"/>
      <c r="AS167" s="36"/>
      <c r="AT167" s="310"/>
      <c r="AU167" s="310"/>
      <c r="AV167" s="310"/>
      <c r="AW167" s="310"/>
      <c r="AX167" s="310"/>
      <c r="AY167" s="309"/>
      <c r="AZ167" s="309"/>
      <c r="BA167" s="36"/>
      <c r="BB167" s="310"/>
      <c r="BC167" s="310"/>
      <c r="BD167" s="310"/>
      <c r="BE167" s="310"/>
      <c r="BF167" s="310"/>
      <c r="BG167" s="309"/>
      <c r="BH167" s="309"/>
      <c r="BI167" s="36"/>
      <c r="BJ167" s="310"/>
      <c r="BK167" s="310"/>
      <c r="BL167" s="310"/>
      <c r="BM167" s="310"/>
      <c r="BN167" s="310"/>
      <c r="BO167" s="309"/>
      <c r="BP167" s="309"/>
      <c r="BQ167" s="36"/>
      <c r="BR167" s="36"/>
    </row>
    <row r="168" spans="2:70" ht="7.5" customHeight="1">
      <c r="B168" s="36"/>
      <c r="C168" s="122"/>
      <c r="D168" s="122"/>
      <c r="E168" s="122"/>
      <c r="F168" s="122"/>
      <c r="G168" s="122"/>
      <c r="H168" s="122"/>
      <c r="I168" s="122"/>
      <c r="J168" s="122"/>
      <c r="K168" s="122"/>
      <c r="L168" s="122"/>
      <c r="M168" s="122"/>
      <c r="N168" s="123"/>
      <c r="O168" s="123"/>
      <c r="P168" s="123"/>
      <c r="Q168" s="123"/>
      <c r="R168" s="123"/>
      <c r="S168" s="120"/>
      <c r="T168" s="120"/>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row>
    <row r="169" spans="2:70" ht="7.5" customHeight="1">
      <c r="B169" s="36"/>
      <c r="C169" s="122"/>
      <c r="D169" s="313" t="s">
        <v>363</v>
      </c>
      <c r="E169" s="313"/>
      <c r="F169" s="313"/>
      <c r="G169" s="313"/>
      <c r="H169" s="313"/>
      <c r="I169" s="313"/>
      <c r="J169" s="313"/>
      <c r="K169" s="313"/>
      <c r="L169" s="313"/>
      <c r="M169" s="313"/>
      <c r="N169" s="313"/>
      <c r="O169" s="313"/>
      <c r="P169" s="313"/>
      <c r="Q169" s="313"/>
      <c r="R169" s="313"/>
      <c r="S169" s="313"/>
      <c r="T169" s="120"/>
      <c r="U169" s="36"/>
      <c r="V169" s="320" t="s">
        <v>361</v>
      </c>
      <c r="W169" s="320"/>
      <c r="X169" s="320"/>
      <c r="Y169" s="320"/>
      <c r="Z169" s="320"/>
      <c r="AA169" s="320"/>
      <c r="AB169" s="320"/>
      <c r="AC169" s="16"/>
      <c r="AD169" s="312" t="s">
        <v>364</v>
      </c>
      <c r="AE169" s="312"/>
      <c r="AF169" s="312"/>
      <c r="AG169" s="312"/>
      <c r="AH169" s="312"/>
      <c r="AI169" s="312"/>
      <c r="AJ169" s="312"/>
      <c r="AK169" s="16"/>
      <c r="AL169" s="312" t="s">
        <v>365</v>
      </c>
      <c r="AM169" s="312"/>
      <c r="AN169" s="312"/>
      <c r="AO169" s="312"/>
      <c r="AP169" s="312"/>
      <c r="AQ169" s="312"/>
      <c r="AR169" s="312"/>
      <c r="AS169" s="16"/>
      <c r="AT169" s="312" t="s">
        <v>366</v>
      </c>
      <c r="AU169" s="312"/>
      <c r="AV169" s="312"/>
      <c r="AW169" s="312"/>
      <c r="AX169" s="312"/>
      <c r="AY169" s="312"/>
      <c r="AZ169" s="312"/>
      <c r="BA169" s="16"/>
      <c r="BB169" s="312" t="s">
        <v>362</v>
      </c>
      <c r="BC169" s="312"/>
      <c r="BD169" s="312"/>
      <c r="BE169" s="312"/>
      <c r="BF169" s="312"/>
      <c r="BG169" s="312"/>
      <c r="BH169" s="312"/>
      <c r="BI169" s="16"/>
      <c r="BJ169" s="312" t="s">
        <v>368</v>
      </c>
      <c r="BK169" s="312"/>
      <c r="BL169" s="312"/>
      <c r="BM169" s="312"/>
      <c r="BN169" s="312"/>
      <c r="BO169" s="312"/>
      <c r="BP169" s="312"/>
      <c r="BQ169" s="36"/>
      <c r="BR169" s="36"/>
    </row>
    <row r="170" spans="2:70" ht="7.5" customHeight="1">
      <c r="B170" s="36"/>
      <c r="C170" s="122"/>
      <c r="D170" s="313"/>
      <c r="E170" s="313"/>
      <c r="F170" s="313"/>
      <c r="G170" s="313"/>
      <c r="H170" s="313"/>
      <c r="I170" s="313"/>
      <c r="J170" s="313"/>
      <c r="K170" s="313"/>
      <c r="L170" s="313"/>
      <c r="M170" s="313"/>
      <c r="N170" s="313"/>
      <c r="O170" s="313"/>
      <c r="P170" s="313"/>
      <c r="Q170" s="313"/>
      <c r="R170" s="313"/>
      <c r="S170" s="313"/>
      <c r="T170" s="120"/>
      <c r="U170" s="36"/>
      <c r="V170" s="320"/>
      <c r="W170" s="320"/>
      <c r="X170" s="320"/>
      <c r="Y170" s="320"/>
      <c r="Z170" s="320"/>
      <c r="AA170" s="320"/>
      <c r="AB170" s="320"/>
      <c r="AC170" s="16"/>
      <c r="AD170" s="312"/>
      <c r="AE170" s="312"/>
      <c r="AF170" s="312"/>
      <c r="AG170" s="312"/>
      <c r="AH170" s="312"/>
      <c r="AI170" s="312"/>
      <c r="AJ170" s="312"/>
      <c r="AK170" s="16"/>
      <c r="AL170" s="312"/>
      <c r="AM170" s="312"/>
      <c r="AN170" s="312"/>
      <c r="AO170" s="312"/>
      <c r="AP170" s="312"/>
      <c r="AQ170" s="312"/>
      <c r="AR170" s="312"/>
      <c r="AS170" s="16"/>
      <c r="AT170" s="312"/>
      <c r="AU170" s="312"/>
      <c r="AV170" s="312"/>
      <c r="AW170" s="312"/>
      <c r="AX170" s="312"/>
      <c r="AY170" s="312"/>
      <c r="AZ170" s="312"/>
      <c r="BA170" s="16"/>
      <c r="BB170" s="312"/>
      <c r="BC170" s="312"/>
      <c r="BD170" s="312"/>
      <c r="BE170" s="312"/>
      <c r="BF170" s="312"/>
      <c r="BG170" s="312"/>
      <c r="BH170" s="312"/>
      <c r="BI170" s="16"/>
      <c r="BJ170" s="312"/>
      <c r="BK170" s="312"/>
      <c r="BL170" s="312"/>
      <c r="BM170" s="312"/>
      <c r="BN170" s="312"/>
      <c r="BO170" s="312"/>
      <c r="BP170" s="312"/>
      <c r="BQ170" s="36"/>
      <c r="BR170" s="36"/>
    </row>
    <row r="171" spans="2:70" ht="7.5" customHeight="1">
      <c r="B171" s="122"/>
      <c r="C171" s="122"/>
      <c r="D171" s="122"/>
      <c r="E171" s="122"/>
      <c r="F171" s="122"/>
      <c r="G171" s="122"/>
      <c r="H171" s="122"/>
      <c r="I171" s="122"/>
      <c r="J171" s="122"/>
      <c r="K171" s="122"/>
      <c r="L171" s="122"/>
      <c r="M171" s="123"/>
      <c r="N171" s="123"/>
      <c r="O171" s="123"/>
      <c r="P171" s="123"/>
      <c r="Q171" s="123"/>
      <c r="R171" s="120"/>
      <c r="S171" s="120"/>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row>
    <row r="172" spans="2:70" ht="7.5" customHeight="1">
      <c r="B172" s="346" t="s">
        <v>303</v>
      </c>
      <c r="C172" s="346"/>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c r="AL172" s="346"/>
      <c r="AM172" s="346"/>
      <c r="AN172" s="346"/>
      <c r="AO172" s="346"/>
      <c r="AP172" s="346"/>
      <c r="AQ172" s="346"/>
      <c r="AR172" s="346"/>
      <c r="AS172" s="346"/>
      <c r="AT172" s="346"/>
      <c r="AU172" s="346"/>
      <c r="AV172" s="346"/>
      <c r="AW172" s="346"/>
      <c r="AX172" s="346"/>
      <c r="AY172" s="346"/>
      <c r="AZ172" s="346"/>
      <c r="BA172" s="346"/>
      <c r="BB172" s="346"/>
      <c r="BC172" s="346"/>
      <c r="BD172" s="346"/>
      <c r="BE172" s="346"/>
      <c r="BF172" s="346"/>
      <c r="BG172" s="346"/>
      <c r="BH172" s="346"/>
      <c r="BI172" s="346"/>
      <c r="BJ172" s="346"/>
      <c r="BK172" s="346"/>
      <c r="BL172" s="346"/>
      <c r="BM172" s="346"/>
      <c r="BN172" s="346"/>
      <c r="BO172" s="346"/>
      <c r="BP172" s="346"/>
      <c r="BQ172" s="346"/>
      <c r="BR172" s="346"/>
    </row>
    <row r="173" spans="2:70" ht="7.5" customHeight="1">
      <c r="B173" s="346"/>
      <c r="C173" s="346"/>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6"/>
      <c r="AI173" s="346"/>
      <c r="AJ173" s="346"/>
      <c r="AK173" s="346"/>
      <c r="AL173" s="346"/>
      <c r="AM173" s="346"/>
      <c r="AN173" s="346"/>
      <c r="AO173" s="346"/>
      <c r="AP173" s="346"/>
      <c r="AQ173" s="346"/>
      <c r="AR173" s="346"/>
      <c r="AS173" s="346"/>
      <c r="AT173" s="346"/>
      <c r="AU173" s="346"/>
      <c r="AV173" s="346"/>
      <c r="AW173" s="346"/>
      <c r="AX173" s="346"/>
      <c r="AY173" s="346"/>
      <c r="AZ173" s="346"/>
      <c r="BA173" s="346"/>
      <c r="BB173" s="346"/>
      <c r="BC173" s="346"/>
      <c r="BD173" s="346"/>
      <c r="BE173" s="346"/>
      <c r="BF173" s="346"/>
      <c r="BG173" s="346"/>
      <c r="BH173" s="346"/>
      <c r="BI173" s="346"/>
      <c r="BJ173" s="346"/>
      <c r="BK173" s="346"/>
      <c r="BL173" s="346"/>
      <c r="BM173" s="346"/>
      <c r="BN173" s="346"/>
      <c r="BO173" s="346"/>
      <c r="BP173" s="346"/>
      <c r="BQ173" s="346"/>
      <c r="BR173" s="346"/>
    </row>
  </sheetData>
  <sheetProtection password="CEEF" sheet="1" selectLockedCells="1"/>
  <mergeCells count="581">
    <mergeCell ref="B172:BR173"/>
    <mergeCell ref="BG114:BJ115"/>
    <mergeCell ref="BK114:BN115"/>
    <mergeCell ref="BO114:BQ115"/>
    <mergeCell ref="Y106:AB107"/>
    <mergeCell ref="AC106:AF107"/>
    <mergeCell ref="AG106:AH107"/>
    <mergeCell ref="AC115:AF116"/>
    <mergeCell ref="AG115:AH116"/>
    <mergeCell ref="C112:F113"/>
    <mergeCell ref="AK104:BR105"/>
    <mergeCell ref="AK111:BR112"/>
    <mergeCell ref="AL114:AO115"/>
    <mergeCell ref="AP114:AS115"/>
    <mergeCell ref="AT114:AW115"/>
    <mergeCell ref="AX114:AZ115"/>
    <mergeCell ref="BC114:BF115"/>
    <mergeCell ref="BO107:BQ108"/>
    <mergeCell ref="AX107:AZ108"/>
    <mergeCell ref="BG107:BJ108"/>
    <mergeCell ref="Y115:AB116"/>
    <mergeCell ref="AC109:AF110"/>
    <mergeCell ref="AG109:AH110"/>
    <mergeCell ref="C60:F61"/>
    <mergeCell ref="G60:J61"/>
    <mergeCell ref="K60:N61"/>
    <mergeCell ref="O60:Q61"/>
    <mergeCell ref="U60:X61"/>
    <mergeCell ref="Y60:AB61"/>
    <mergeCell ref="U112:X113"/>
    <mergeCell ref="Y112:AB113"/>
    <mergeCell ref="AC112:AF113"/>
    <mergeCell ref="AC60:AF61"/>
    <mergeCell ref="AG60:AH61"/>
    <mergeCell ref="C115:F116"/>
    <mergeCell ref="G115:J116"/>
    <mergeCell ref="K115:N116"/>
    <mergeCell ref="O115:Q116"/>
    <mergeCell ref="U115:X116"/>
    <mergeCell ref="AG112:AH113"/>
    <mergeCell ref="C109:F110"/>
    <mergeCell ref="G109:J110"/>
    <mergeCell ref="K109:N110"/>
    <mergeCell ref="O109:Q110"/>
    <mergeCell ref="U109:X110"/>
    <mergeCell ref="Y109:AB110"/>
    <mergeCell ref="G112:J113"/>
    <mergeCell ref="K112:N113"/>
    <mergeCell ref="O112:Q113"/>
    <mergeCell ref="AC100:AF101"/>
    <mergeCell ref="AG100:AH101"/>
    <mergeCell ref="C103:F104"/>
    <mergeCell ref="G103:J104"/>
    <mergeCell ref="K103:N104"/>
    <mergeCell ref="O103:Q104"/>
    <mergeCell ref="U103:X104"/>
    <mergeCell ref="Y103:AB104"/>
    <mergeCell ref="AC103:AF104"/>
    <mergeCell ref="AG103:AH104"/>
    <mergeCell ref="C100:F101"/>
    <mergeCell ref="G100:J101"/>
    <mergeCell ref="K100:N101"/>
    <mergeCell ref="O100:Q101"/>
    <mergeCell ref="U100:X101"/>
    <mergeCell ref="Y100:AB101"/>
    <mergeCell ref="AC94:AF95"/>
    <mergeCell ref="AG94:AH95"/>
    <mergeCell ref="C97:F98"/>
    <mergeCell ref="G97:J98"/>
    <mergeCell ref="K97:N98"/>
    <mergeCell ref="O97:Q98"/>
    <mergeCell ref="U97:X98"/>
    <mergeCell ref="Y97:AB98"/>
    <mergeCell ref="AC97:AF98"/>
    <mergeCell ref="AG97:AH98"/>
    <mergeCell ref="C94:F95"/>
    <mergeCell ref="G94:J95"/>
    <mergeCell ref="K94:N95"/>
    <mergeCell ref="O94:Q95"/>
    <mergeCell ref="U94:X95"/>
    <mergeCell ref="Y94:AB95"/>
    <mergeCell ref="AC88:AF89"/>
    <mergeCell ref="AG88:AH89"/>
    <mergeCell ref="C91:F92"/>
    <mergeCell ref="G91:J92"/>
    <mergeCell ref="K91:N92"/>
    <mergeCell ref="O91:Q92"/>
    <mergeCell ref="U91:X92"/>
    <mergeCell ref="Y91:AB92"/>
    <mergeCell ref="AC91:AF92"/>
    <mergeCell ref="AG91:AH92"/>
    <mergeCell ref="C88:F89"/>
    <mergeCell ref="G88:J89"/>
    <mergeCell ref="K88:N89"/>
    <mergeCell ref="O88:Q89"/>
    <mergeCell ref="U88:X89"/>
    <mergeCell ref="Y88:AB89"/>
    <mergeCell ref="K85:N86"/>
    <mergeCell ref="O85:Q86"/>
    <mergeCell ref="U85:X86"/>
    <mergeCell ref="Y85:AB86"/>
    <mergeCell ref="AC85:AF86"/>
    <mergeCell ref="AG85:AH86"/>
    <mergeCell ref="K69:N70"/>
    <mergeCell ref="O69:Q70"/>
    <mergeCell ref="U69:X70"/>
    <mergeCell ref="Y69:AB70"/>
    <mergeCell ref="AC69:AF70"/>
    <mergeCell ref="AG69:AH70"/>
    <mergeCell ref="AC42:AF43"/>
    <mergeCell ref="AG42:AH43"/>
    <mergeCell ref="C63:F64"/>
    <mergeCell ref="G63:J64"/>
    <mergeCell ref="K63:N64"/>
    <mergeCell ref="O63:Q64"/>
    <mergeCell ref="U63:X64"/>
    <mergeCell ref="Y63:AB64"/>
    <mergeCell ref="AC63:AF64"/>
    <mergeCell ref="AG63:AH64"/>
    <mergeCell ref="AC48:AF49"/>
    <mergeCell ref="AG57:AH58"/>
    <mergeCell ref="K51:N52"/>
    <mergeCell ref="AG48:AH49"/>
    <mergeCell ref="C66:F67"/>
    <mergeCell ref="G66:J67"/>
    <mergeCell ref="K66:N67"/>
    <mergeCell ref="O66:Q67"/>
    <mergeCell ref="U66:X67"/>
    <mergeCell ref="Y66:AB67"/>
    <mergeCell ref="G45:J46"/>
    <mergeCell ref="K45:N46"/>
    <mergeCell ref="O45:Q46"/>
    <mergeCell ref="U45:X46"/>
    <mergeCell ref="Y45:AB46"/>
    <mergeCell ref="K48:N49"/>
    <mergeCell ref="O48:Q49"/>
    <mergeCell ref="U48:X49"/>
    <mergeCell ref="Y48:AB49"/>
    <mergeCell ref="G48:J49"/>
    <mergeCell ref="AG45:AH46"/>
    <mergeCell ref="C48:F49"/>
    <mergeCell ref="G57:J58"/>
    <mergeCell ref="K57:N58"/>
    <mergeCell ref="O57:Q58"/>
    <mergeCell ref="U57:X58"/>
    <mergeCell ref="Y57:AB58"/>
    <mergeCell ref="AC57:AF58"/>
    <mergeCell ref="AG51:AH52"/>
    <mergeCell ref="C45:F46"/>
    <mergeCell ref="AG39:AH40"/>
    <mergeCell ref="C54:F55"/>
    <mergeCell ref="G54:J55"/>
    <mergeCell ref="K54:N55"/>
    <mergeCell ref="O54:Q55"/>
    <mergeCell ref="U54:X55"/>
    <mergeCell ref="Y54:AB55"/>
    <mergeCell ref="AC54:AF55"/>
    <mergeCell ref="AG54:AH55"/>
    <mergeCell ref="AC45:AF46"/>
    <mergeCell ref="AC36:AF37"/>
    <mergeCell ref="AG36:AH37"/>
    <mergeCell ref="G33:J34"/>
    <mergeCell ref="C39:F40"/>
    <mergeCell ref="G39:J40"/>
    <mergeCell ref="K39:N40"/>
    <mergeCell ref="O39:Q40"/>
    <mergeCell ref="U39:X40"/>
    <mergeCell ref="Y39:AB40"/>
    <mergeCell ref="AC39:AF40"/>
    <mergeCell ref="C36:F37"/>
    <mergeCell ref="G36:J37"/>
    <mergeCell ref="K36:N37"/>
    <mergeCell ref="O36:Q37"/>
    <mergeCell ref="U36:X37"/>
    <mergeCell ref="Y36:AB37"/>
    <mergeCell ref="K33:N34"/>
    <mergeCell ref="O33:P34"/>
    <mergeCell ref="U33:X34"/>
    <mergeCell ref="Y33:AB34"/>
    <mergeCell ref="AC33:AF34"/>
    <mergeCell ref="B27:AI28"/>
    <mergeCell ref="C33:F34"/>
    <mergeCell ref="Y30:AB31"/>
    <mergeCell ref="U30:X31"/>
    <mergeCell ref="AG33:AH34"/>
    <mergeCell ref="B7:AI9"/>
    <mergeCell ref="AK7:BR9"/>
    <mergeCell ref="B2:BR5"/>
    <mergeCell ref="C106:F107"/>
    <mergeCell ref="G106:J107"/>
    <mergeCell ref="K106:N107"/>
    <mergeCell ref="O106:Q107"/>
    <mergeCell ref="U106:X107"/>
    <mergeCell ref="BE90:BG91"/>
    <mergeCell ref="P14:Q15"/>
    <mergeCell ref="Y14:AB15"/>
    <mergeCell ref="C42:F43"/>
    <mergeCell ref="G42:J43"/>
    <mergeCell ref="K42:N43"/>
    <mergeCell ref="O42:Q43"/>
    <mergeCell ref="U42:X43"/>
    <mergeCell ref="P20:Q21"/>
    <mergeCell ref="C30:F31"/>
    <mergeCell ref="G30:J31"/>
    <mergeCell ref="K30:N31"/>
    <mergeCell ref="AK81:AV82"/>
    <mergeCell ref="AW81:AY82"/>
    <mergeCell ref="AZ81:BD82"/>
    <mergeCell ref="AZ90:BD91"/>
    <mergeCell ref="C57:F58"/>
    <mergeCell ref="C69:F70"/>
    <mergeCell ref="G69:J70"/>
    <mergeCell ref="B73:AI74"/>
    <mergeCell ref="C76:F77"/>
    <mergeCell ref="K79:N80"/>
    <mergeCell ref="BK107:BN108"/>
    <mergeCell ref="AL107:AO108"/>
    <mergeCell ref="AC51:AF52"/>
    <mergeCell ref="U51:X52"/>
    <mergeCell ref="G76:J77"/>
    <mergeCell ref="K76:N77"/>
    <mergeCell ref="O76:P77"/>
    <mergeCell ref="U76:X77"/>
    <mergeCell ref="Y76:AB77"/>
    <mergeCell ref="O51:Q52"/>
    <mergeCell ref="AX14:AY15"/>
    <mergeCell ref="O30:P31"/>
    <mergeCell ref="AW90:AY91"/>
    <mergeCell ref="AL14:AO15"/>
    <mergeCell ref="AT14:AW15"/>
    <mergeCell ref="Y42:AB43"/>
    <mergeCell ref="AC76:AF77"/>
    <mergeCell ref="AG76:AH77"/>
    <mergeCell ref="L20:O21"/>
    <mergeCell ref="AC20:AF21"/>
    <mergeCell ref="AK95:BR96"/>
    <mergeCell ref="AT107:AW108"/>
    <mergeCell ref="BH81:BQ82"/>
    <mergeCell ref="AK97:BR98"/>
    <mergeCell ref="AK56:BR57"/>
    <mergeCell ref="AK62:BE63"/>
    <mergeCell ref="BE81:BG82"/>
    <mergeCell ref="AP107:AS108"/>
    <mergeCell ref="AK90:AV91"/>
    <mergeCell ref="BC107:BF108"/>
    <mergeCell ref="C79:F80"/>
    <mergeCell ref="G79:J80"/>
    <mergeCell ref="O79:P80"/>
    <mergeCell ref="AU65:AY66"/>
    <mergeCell ref="U79:X80"/>
    <mergeCell ref="Y79:AB80"/>
    <mergeCell ref="AC79:AF80"/>
    <mergeCell ref="AG79:AH80"/>
    <mergeCell ref="AC66:AF67"/>
    <mergeCell ref="AG66:AH67"/>
    <mergeCell ref="C82:F83"/>
    <mergeCell ref="G82:J83"/>
    <mergeCell ref="K82:N83"/>
    <mergeCell ref="O82:Q83"/>
    <mergeCell ref="U82:X83"/>
    <mergeCell ref="AP14:AS15"/>
    <mergeCell ref="AK68:BR69"/>
    <mergeCell ref="Y51:AB52"/>
    <mergeCell ref="Y20:AB21"/>
    <mergeCell ref="AZ78:BD79"/>
    <mergeCell ref="BH75:BQ76"/>
    <mergeCell ref="Y82:AB83"/>
    <mergeCell ref="AC82:AF83"/>
    <mergeCell ref="AG82:AH83"/>
    <mergeCell ref="AC30:AF31"/>
    <mergeCell ref="BI62:BL63"/>
    <mergeCell ref="AZ75:BD76"/>
    <mergeCell ref="AL43:AO44"/>
    <mergeCell ref="BI49:BL50"/>
    <mergeCell ref="BM49:BQ50"/>
    <mergeCell ref="BP14:BQ15"/>
    <mergeCell ref="AG30:AH31"/>
    <mergeCell ref="AK59:BE60"/>
    <mergeCell ref="BI59:BL60"/>
    <mergeCell ref="BF59:BH60"/>
    <mergeCell ref="AK78:AV79"/>
    <mergeCell ref="BE78:BG79"/>
    <mergeCell ref="BM46:BQ47"/>
    <mergeCell ref="BI43:BL44"/>
    <mergeCell ref="AP43:AW44"/>
    <mergeCell ref="C51:F52"/>
    <mergeCell ref="BQ62:BR63"/>
    <mergeCell ref="AZ65:BL66"/>
    <mergeCell ref="BM59:BP60"/>
    <mergeCell ref="BM62:BP63"/>
    <mergeCell ref="BM65:BQ66"/>
    <mergeCell ref="G51:J52"/>
    <mergeCell ref="BF62:BH63"/>
    <mergeCell ref="AK11:BR12"/>
    <mergeCell ref="AK27:BR28"/>
    <mergeCell ref="BK30:BR31"/>
    <mergeCell ref="BG30:BJ31"/>
    <mergeCell ref="AK65:AT66"/>
    <mergeCell ref="AW75:AY76"/>
    <mergeCell ref="BE75:BG76"/>
    <mergeCell ref="AK75:AV76"/>
    <mergeCell ref="BH14:BK15"/>
    <mergeCell ref="BD14:BG15"/>
    <mergeCell ref="AL46:AO47"/>
    <mergeCell ref="AP46:AW47"/>
    <mergeCell ref="AX46:BA47"/>
    <mergeCell ref="BB46:BH47"/>
    <mergeCell ref="BI46:BL47"/>
    <mergeCell ref="AK87:AV88"/>
    <mergeCell ref="AW87:AY88"/>
    <mergeCell ref="AZ87:BD88"/>
    <mergeCell ref="BE87:BG88"/>
    <mergeCell ref="AW78:AY79"/>
    <mergeCell ref="BH90:BQ91"/>
    <mergeCell ref="BH78:BR79"/>
    <mergeCell ref="BH84:BR85"/>
    <mergeCell ref="BH87:BR88"/>
    <mergeCell ref="AX43:BA44"/>
    <mergeCell ref="BB43:BH44"/>
    <mergeCell ref="BM43:BQ44"/>
    <mergeCell ref="BQ59:BR60"/>
    <mergeCell ref="AZ84:BD85"/>
    <mergeCell ref="BE84:BG85"/>
    <mergeCell ref="AK93:BR94"/>
    <mergeCell ref="AK40:BR41"/>
    <mergeCell ref="AK52:BR53"/>
    <mergeCell ref="AK72:BR73"/>
    <mergeCell ref="AK84:AV85"/>
    <mergeCell ref="AW84:AY85"/>
    <mergeCell ref="AL49:AO50"/>
    <mergeCell ref="AP49:AW50"/>
    <mergeCell ref="AX49:BA50"/>
    <mergeCell ref="BB49:BH50"/>
    <mergeCell ref="AK101:BR102"/>
    <mergeCell ref="T20:X21"/>
    <mergeCell ref="T17:X18"/>
    <mergeCell ref="T14:X15"/>
    <mergeCell ref="C14:G15"/>
    <mergeCell ref="C20:G21"/>
    <mergeCell ref="H20:K21"/>
    <mergeCell ref="AG20:AH21"/>
    <mergeCell ref="C85:F86"/>
    <mergeCell ref="G85:J86"/>
    <mergeCell ref="BK33:BR34"/>
    <mergeCell ref="BG36:BJ37"/>
    <mergeCell ref="BK36:BR37"/>
    <mergeCell ref="AL36:AO37"/>
    <mergeCell ref="AP36:AT37"/>
    <mergeCell ref="AY36:BF37"/>
    <mergeCell ref="AU36:AX37"/>
    <mergeCell ref="BG33:BJ34"/>
    <mergeCell ref="AL33:AO34"/>
    <mergeCell ref="AP33:AT34"/>
    <mergeCell ref="AU33:AX34"/>
    <mergeCell ref="AY33:BF34"/>
    <mergeCell ref="AL30:AO31"/>
    <mergeCell ref="AP23:AS24"/>
    <mergeCell ref="AG23:AH24"/>
    <mergeCell ref="T23:X24"/>
    <mergeCell ref="AX23:AZ24"/>
    <mergeCell ref="BD23:BG24"/>
    <mergeCell ref="C23:G24"/>
    <mergeCell ref="AY30:BF31"/>
    <mergeCell ref="AU30:AX31"/>
    <mergeCell ref="AP30:AT31"/>
    <mergeCell ref="AP17:AS18"/>
    <mergeCell ref="AG17:AH18"/>
    <mergeCell ref="AT23:AW24"/>
    <mergeCell ref="AC14:AF15"/>
    <mergeCell ref="AG14:AH15"/>
    <mergeCell ref="BL14:BO15"/>
    <mergeCell ref="H23:K24"/>
    <mergeCell ref="L23:O24"/>
    <mergeCell ref="P23:Q24"/>
    <mergeCell ref="Y23:AB24"/>
    <mergeCell ref="AC23:AF24"/>
    <mergeCell ref="H14:K15"/>
    <mergeCell ref="L14:O15"/>
    <mergeCell ref="BP20:BR21"/>
    <mergeCell ref="AL20:AO21"/>
    <mergeCell ref="AP20:AS21"/>
    <mergeCell ref="AT20:AW21"/>
    <mergeCell ref="AX20:AZ21"/>
    <mergeCell ref="BP17:BQ18"/>
    <mergeCell ref="AL17:AO18"/>
    <mergeCell ref="BH17:BK18"/>
    <mergeCell ref="BL17:BO18"/>
    <mergeCell ref="BL20:BO21"/>
    <mergeCell ref="BH23:BK24"/>
    <mergeCell ref="AT17:AW18"/>
    <mergeCell ref="AX17:AY18"/>
    <mergeCell ref="BD20:BG21"/>
    <mergeCell ref="BH20:BK21"/>
    <mergeCell ref="BD17:BG18"/>
    <mergeCell ref="BL23:BO24"/>
    <mergeCell ref="BP23:BR24"/>
    <mergeCell ref="B11:AI12"/>
    <mergeCell ref="H17:K18"/>
    <mergeCell ref="L17:O18"/>
    <mergeCell ref="P17:Q18"/>
    <mergeCell ref="Y17:AB18"/>
    <mergeCell ref="AC17:AF18"/>
    <mergeCell ref="C17:G18"/>
    <mergeCell ref="AL23:AO24"/>
    <mergeCell ref="C163:M164"/>
    <mergeCell ref="N163:R164"/>
    <mergeCell ref="AD169:AJ170"/>
    <mergeCell ref="AL169:AR170"/>
    <mergeCell ref="AT169:AZ170"/>
    <mergeCell ref="AD148:AH149"/>
    <mergeCell ref="AD151:AH152"/>
    <mergeCell ref="AI151:AJ152"/>
    <mergeCell ref="AL148:AP149"/>
    <mergeCell ref="C157:M158"/>
    <mergeCell ref="N157:R158"/>
    <mergeCell ref="S157:T158"/>
    <mergeCell ref="C160:M161"/>
    <mergeCell ref="N160:R161"/>
    <mergeCell ref="S160:T161"/>
    <mergeCell ref="C148:M149"/>
    <mergeCell ref="N148:R149"/>
    <mergeCell ref="C151:M152"/>
    <mergeCell ref="N151:R152"/>
    <mergeCell ref="S151:T152"/>
    <mergeCell ref="V169:AB170"/>
    <mergeCell ref="V157:Z158"/>
    <mergeCell ref="AA157:AB158"/>
    <mergeCell ref="V163:Z164"/>
    <mergeCell ref="C154:T155"/>
    <mergeCell ref="C124:T125"/>
    <mergeCell ref="C139:T140"/>
    <mergeCell ref="C142:M143"/>
    <mergeCell ref="N127:R128"/>
    <mergeCell ref="S130:T131"/>
    <mergeCell ref="B119:BR120"/>
    <mergeCell ref="S142:T143"/>
    <mergeCell ref="C145:M146"/>
    <mergeCell ref="N145:R146"/>
    <mergeCell ref="S145:T146"/>
    <mergeCell ref="AD145:AH146"/>
    <mergeCell ref="AI145:AJ146"/>
    <mergeCell ref="AL145:AP146"/>
    <mergeCell ref="AQ145:AR146"/>
    <mergeCell ref="AD124:AJ125"/>
    <mergeCell ref="AL124:AR125"/>
    <mergeCell ref="AT124:AZ125"/>
    <mergeCell ref="BB124:BH125"/>
    <mergeCell ref="BJ124:BP125"/>
    <mergeCell ref="AD142:AH143"/>
    <mergeCell ref="AI142:AJ143"/>
    <mergeCell ref="AL142:AP143"/>
    <mergeCell ref="AQ142:AR143"/>
    <mergeCell ref="BJ127:BN128"/>
    <mergeCell ref="BO127:BP128"/>
    <mergeCell ref="BJ130:BN131"/>
    <mergeCell ref="BO130:BP131"/>
    <mergeCell ref="BJ133:BN134"/>
    <mergeCell ref="BJ136:BN137"/>
    <mergeCell ref="BO136:BP137"/>
    <mergeCell ref="BB127:BF128"/>
    <mergeCell ref="BG127:BH128"/>
    <mergeCell ref="BB130:BF131"/>
    <mergeCell ref="BG130:BH131"/>
    <mergeCell ref="BB133:BF134"/>
    <mergeCell ref="BB136:BF137"/>
    <mergeCell ref="BG136:BH137"/>
    <mergeCell ref="AT127:AX128"/>
    <mergeCell ref="AY127:AZ128"/>
    <mergeCell ref="AT130:AX131"/>
    <mergeCell ref="AY130:AZ131"/>
    <mergeCell ref="AT133:AX134"/>
    <mergeCell ref="AT136:AX137"/>
    <mergeCell ref="AY136:AZ137"/>
    <mergeCell ref="AL133:AP134"/>
    <mergeCell ref="AL136:AP137"/>
    <mergeCell ref="AQ136:AR137"/>
    <mergeCell ref="N142:R143"/>
    <mergeCell ref="N133:R134"/>
    <mergeCell ref="AD133:AH134"/>
    <mergeCell ref="AD136:AH137"/>
    <mergeCell ref="AI136:AJ137"/>
    <mergeCell ref="AL127:AP128"/>
    <mergeCell ref="AQ127:AR128"/>
    <mergeCell ref="AL130:AP131"/>
    <mergeCell ref="AD127:AH128"/>
    <mergeCell ref="AI127:AJ128"/>
    <mergeCell ref="AD130:AH131"/>
    <mergeCell ref="AI130:AJ131"/>
    <mergeCell ref="AQ130:AR131"/>
    <mergeCell ref="C130:M131"/>
    <mergeCell ref="C127:M128"/>
    <mergeCell ref="C133:M134"/>
    <mergeCell ref="C136:M137"/>
    <mergeCell ref="S127:T128"/>
    <mergeCell ref="AA136:AB137"/>
    <mergeCell ref="N136:R137"/>
    <mergeCell ref="S136:T137"/>
    <mergeCell ref="N130:R131"/>
    <mergeCell ref="C166:M167"/>
    <mergeCell ref="N166:R167"/>
    <mergeCell ref="S166:T167"/>
    <mergeCell ref="V124:AB125"/>
    <mergeCell ref="V127:Z128"/>
    <mergeCell ref="AA127:AB128"/>
    <mergeCell ref="V130:Z131"/>
    <mergeCell ref="AA130:AB131"/>
    <mergeCell ref="V133:Z134"/>
    <mergeCell ref="V136:Z137"/>
    <mergeCell ref="BB169:BH170"/>
    <mergeCell ref="BJ169:BP170"/>
    <mergeCell ref="D169:S170"/>
    <mergeCell ref="V142:Z143"/>
    <mergeCell ref="AA142:AB143"/>
    <mergeCell ref="V145:Z146"/>
    <mergeCell ref="AA145:AB146"/>
    <mergeCell ref="V148:Z149"/>
    <mergeCell ref="V151:Z152"/>
    <mergeCell ref="AA151:AB152"/>
    <mergeCell ref="AL151:AP152"/>
    <mergeCell ref="AQ151:AR152"/>
    <mergeCell ref="AT142:AX143"/>
    <mergeCell ref="AY142:AZ143"/>
    <mergeCell ref="AT145:AX146"/>
    <mergeCell ref="AY145:AZ146"/>
    <mergeCell ref="AT148:AX149"/>
    <mergeCell ref="AT151:AX152"/>
    <mergeCell ref="AY151:AZ152"/>
    <mergeCell ref="BB142:BF143"/>
    <mergeCell ref="BG142:BH143"/>
    <mergeCell ref="BB145:BF146"/>
    <mergeCell ref="BG145:BH146"/>
    <mergeCell ref="BB148:BF149"/>
    <mergeCell ref="BB151:BF152"/>
    <mergeCell ref="BG151:BH152"/>
    <mergeCell ref="BJ142:BN143"/>
    <mergeCell ref="BO142:BP143"/>
    <mergeCell ref="BJ145:BN146"/>
    <mergeCell ref="BO145:BP146"/>
    <mergeCell ref="BJ148:BN149"/>
    <mergeCell ref="BJ151:BN152"/>
    <mergeCell ref="BO151:BP152"/>
    <mergeCell ref="AD157:AH158"/>
    <mergeCell ref="AI157:AJ158"/>
    <mergeCell ref="AL157:AP158"/>
    <mergeCell ref="AQ157:AR158"/>
    <mergeCell ref="AT157:AX158"/>
    <mergeCell ref="AY157:AZ158"/>
    <mergeCell ref="BB157:BF158"/>
    <mergeCell ref="BG157:BH158"/>
    <mergeCell ref="BJ157:BN158"/>
    <mergeCell ref="BO157:BP158"/>
    <mergeCell ref="V160:Z161"/>
    <mergeCell ref="AA160:AB161"/>
    <mergeCell ref="AD160:AH161"/>
    <mergeCell ref="AI160:AJ161"/>
    <mergeCell ref="AL160:AP161"/>
    <mergeCell ref="AQ160:AR161"/>
    <mergeCell ref="AT160:AX161"/>
    <mergeCell ref="AY160:AZ161"/>
    <mergeCell ref="BB160:BF161"/>
    <mergeCell ref="BG160:BH161"/>
    <mergeCell ref="BJ160:BN161"/>
    <mergeCell ref="BO160:BP161"/>
    <mergeCell ref="AT163:AX164"/>
    <mergeCell ref="BB163:BF164"/>
    <mergeCell ref="BJ163:BN164"/>
    <mergeCell ref="V166:Z167"/>
    <mergeCell ref="AA166:AB167"/>
    <mergeCell ref="AD166:AH167"/>
    <mergeCell ref="AI166:AJ167"/>
    <mergeCell ref="AL166:AP167"/>
    <mergeCell ref="BO166:BP167"/>
    <mergeCell ref="B121:BR122"/>
    <mergeCell ref="AQ166:AR167"/>
    <mergeCell ref="AT166:AX167"/>
    <mergeCell ref="AY166:AZ167"/>
    <mergeCell ref="BB166:BF167"/>
    <mergeCell ref="BG166:BH167"/>
    <mergeCell ref="BJ166:BN167"/>
    <mergeCell ref="AD163:AH164"/>
    <mergeCell ref="AL163:AP16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18"/>
  <sheetViews>
    <sheetView zoomScalePageLayoutView="0" workbookViewId="0" topLeftCell="A72">
      <selection activeCell="A116" sqref="A116"/>
    </sheetView>
  </sheetViews>
  <sheetFormatPr defaultColWidth="9.140625" defaultRowHeight="15"/>
  <cols>
    <col min="1" max="1" width="75.421875" style="22" customWidth="1"/>
    <col min="2" max="16384" width="9.140625" style="22" customWidth="1"/>
  </cols>
  <sheetData>
    <row r="1" ht="13.5">
      <c r="A1" s="33"/>
    </row>
    <row r="2" spans="1:7" ht="13.5">
      <c r="A2" s="21" t="str">
        <f>IF(G2="y","[center][b]","")&amp;"BIABacus Pre-Release 1.3U RECIPE REPORT"&amp;IF(G2="y","[/b][/center]","")</f>
        <v>[center][b]BIABacus Pre-Release 1.3U RECIPE REPORT[/b][/center]</v>
      </c>
      <c r="B2" s="347" t="s">
        <v>194</v>
      </c>
      <c r="C2" s="347"/>
      <c r="D2" s="347"/>
      <c r="E2" s="347"/>
      <c r="F2" s="348"/>
      <c r="G2" s="29" t="s">
        <v>214</v>
      </c>
    </row>
    <row r="3" spans="1:7" ht="13.5">
      <c r="A3" s="21" t="str">
        <f>IF(G2="y","[center]","")&amp;"BIAB Recipe Designer, Calculator and Scaler."&amp;IF(G2="y","[/center]","")</f>
        <v>[center]BIAB Recipe Designer, Calculator and Scaler.[/center]</v>
      </c>
      <c r="B3" s="12"/>
      <c r="C3" s="12"/>
      <c r="D3" s="12"/>
      <c r="E3" s="12"/>
      <c r="F3" s="12"/>
      <c r="G3" s="7"/>
    </row>
    <row r="4" spans="1:2" ht="13.5">
      <c r="A4" s="21" t="str">
        <f>IF(G2="y","[center]","")&amp;"(Please visit www.biabrewer.info for the latest version.)"&amp;IF(G2="y","[/center]","")</f>
        <v>[center](Please visit www.biabrewer.info for the latest version.)[/center]</v>
      </c>
      <c r="B4" s="22" t="s">
        <v>210</v>
      </c>
    </row>
    <row r="5" spans="1:7" ht="13.5">
      <c r="A5" s="21" t="str">
        <f>IF(G2="y","[center][b]","")&amp;'BIABacus PR 1.3U'!BY3&amp;IF(G2="y","[/b][/center]","")</f>
        <v>[center][b]Zombie Dust Clone[/b][/center]</v>
      </c>
      <c r="B5" s="22" t="s">
        <v>228</v>
      </c>
      <c r="C5" s="12"/>
      <c r="D5" s="12"/>
      <c r="E5" s="12"/>
      <c r="F5" s="12"/>
      <c r="G5" s="7"/>
    </row>
    <row r="6" spans="1:2" ht="13.5">
      <c r="A6" s="8"/>
      <c r="B6" s="22" t="s">
        <v>229</v>
      </c>
    </row>
    <row r="7" spans="1:7" ht="13.5">
      <c r="A7" s="11" t="str">
        <f>IF(G2="y","[b]","")&amp;"Recipe Overview"&amp;IF(G2="y","[/b]","")</f>
        <v>[b]Recipe Overview[/b]</v>
      </c>
      <c r="B7" s="12" t="s">
        <v>224</v>
      </c>
      <c r="C7" s="12"/>
      <c r="D7" s="12"/>
      <c r="E7" s="12"/>
      <c r="F7" s="12"/>
      <c r="G7" s="7"/>
    </row>
    <row r="8" spans="1:7" ht="13.5">
      <c r="A8" s="8"/>
      <c r="B8" s="7" t="s">
        <v>230</v>
      </c>
      <c r="C8" s="7"/>
      <c r="D8" s="7"/>
      <c r="E8" s="7"/>
      <c r="F8" s="7"/>
      <c r="G8" s="7"/>
    </row>
    <row r="9" spans="1:7" ht="13.5">
      <c r="A9" s="7" t="str">
        <f>"Brewer: "&amp;'BIABacus PR 1.3U'!G30</f>
        <v>Brewer: </v>
      </c>
      <c r="B9" s="7" t="s">
        <v>202</v>
      </c>
      <c r="C9" s="7"/>
      <c r="D9" s="7"/>
      <c r="E9" s="7"/>
      <c r="F9" s="7"/>
      <c r="G9" s="7"/>
    </row>
    <row r="10" spans="1:7" ht="13.5">
      <c r="A10" s="7" t="str">
        <f>"Style: "&amp;'BIABacus PR 1.3U'!Y30</f>
        <v>Style: American IPA</v>
      </c>
      <c r="B10" s="7" t="s">
        <v>203</v>
      </c>
      <c r="C10" s="7"/>
      <c r="D10" s="7"/>
      <c r="E10" s="7"/>
      <c r="F10" s="7"/>
      <c r="G10" s="7"/>
    </row>
    <row r="11" spans="1:7" ht="13.5">
      <c r="A11" s="7" t="str">
        <f>"Source Recipe Link: "&amp;'BIABacus PR 1.3U'!N39</f>
        <v>Source Recipe Link: </v>
      </c>
      <c r="B11" s="7" t="s">
        <v>204</v>
      </c>
      <c r="C11" s="7"/>
      <c r="D11" s="7"/>
      <c r="E11" s="7"/>
      <c r="F11" s="7"/>
      <c r="G11" s="7"/>
    </row>
    <row r="12" spans="1:7" ht="13.5">
      <c r="A12" s="7" t="str">
        <f>IF(ISNUMBER('BIABacus PR 1.3U'!AH33),"ABV: "&amp;ROUND('BIABacus PR 1.3U'!AH33,1)&amp;"% (assumes any priming sugar used is diluted.)","ABV%: ")</f>
        <v>ABV: 5.9% (assumes any priming sugar used is diluted.)</v>
      </c>
      <c r="B12" s="7" t="s">
        <v>205</v>
      </c>
      <c r="C12" s="7"/>
      <c r="D12" s="7"/>
      <c r="E12" s="7"/>
      <c r="F12" s="7"/>
      <c r="G12" s="7"/>
    </row>
    <row r="13" spans="2:7" ht="13.5">
      <c r="B13" s="7"/>
      <c r="C13" s="7"/>
      <c r="D13" s="7"/>
      <c r="E13" s="7"/>
      <c r="F13" s="7"/>
      <c r="G13" s="7"/>
    </row>
    <row r="14" spans="1:7" ht="13.5">
      <c r="A14" s="7" t="str">
        <f>IF(ISNUMBER('BIABacus PR 1.3U'!P33),"Original Gravity (OG): "&amp;ROUND('BIABacus PR 1.3U'!P33,3),"Original Gravity (OG):")</f>
        <v>Original Gravity (OG): 1.061</v>
      </c>
      <c r="B14" s="349" t="s">
        <v>195</v>
      </c>
      <c r="C14" s="349"/>
      <c r="D14" s="349"/>
      <c r="E14" s="349"/>
      <c r="F14" s="349"/>
      <c r="G14" s="349"/>
    </row>
    <row r="15" spans="1:7" ht="13.5">
      <c r="A15" s="7" t="str">
        <f>IF(ISNUMBER('BIABacus PR 1.3U'!AA33),"IBU's (Tinseth): "&amp;ROUND('BIABacus PR 1.3U'!AA33,1),"IBU's (Tinseth): ")</f>
        <v>IBU's (Tinseth): 62.4</v>
      </c>
      <c r="B15" s="7"/>
      <c r="C15" s="7"/>
      <c r="D15" s="7"/>
      <c r="E15" s="7"/>
      <c r="F15" s="7"/>
      <c r="G15" s="7"/>
    </row>
    <row r="16" spans="1:7" ht="13.5">
      <c r="A16" s="7" t="str">
        <f>IF(ISNUMBER('BIABacus PR 1.3U'!P36),"Bitterness to Gravity Ratio: "&amp;ROUND('BIABacus PR 1.3U'!P36,2),"Bitterness to Gravity Ratio: ")</f>
        <v>Bitterness to Gravity Ratio: 1.02</v>
      </c>
      <c r="B16" s="22" t="s">
        <v>211</v>
      </c>
      <c r="C16" s="7"/>
      <c r="D16" s="7"/>
      <c r="E16" s="7"/>
      <c r="F16" s="7"/>
      <c r="G16" s="7"/>
    </row>
    <row r="17" spans="1:7" ht="13.5">
      <c r="A17" s="7" t="str">
        <f>IF(ISNUMBER('BIABacus PR 1.3U'!AC36),"Colour: "&amp;ROUND('BIABacus PR 1.3U'!AC36,1)&amp;" EBC = "&amp;ROUND('BIABacus PR 1.3U'!BD79,1)&amp;" SRM","Colour: ")</f>
        <v>Colour: </v>
      </c>
      <c r="B17" s="12" t="s">
        <v>196</v>
      </c>
      <c r="C17" s="7"/>
      <c r="D17" s="7"/>
      <c r="E17" s="7"/>
      <c r="F17" s="7"/>
      <c r="G17" s="7"/>
    </row>
    <row r="18" spans="2:7" ht="13.5">
      <c r="B18" s="12"/>
      <c r="C18" s="7"/>
      <c r="D18" s="7"/>
      <c r="E18" s="7"/>
      <c r="F18" s="7"/>
      <c r="G18" s="7"/>
    </row>
    <row r="19" spans="1:7" ht="13.5">
      <c r="A19" s="7" t="str">
        <f>IF(ISNUMBER('BIABacus PR 1.3U'!CQ133),"Kettle Efficiency (as in EIB and EAW): "&amp;ROUND('BIABacus PR 1.3U'!CQ133,1)&amp;" %","Kettle Efficiency (as in EIB and EAW): ")</f>
        <v>Kettle Efficiency (as in EIB and EAW): 77.6 %</v>
      </c>
      <c r="B19" s="349" t="s">
        <v>197</v>
      </c>
      <c r="C19" s="349"/>
      <c r="D19" s="349"/>
      <c r="E19" s="349"/>
      <c r="F19" s="349"/>
      <c r="G19" s="349"/>
    </row>
    <row r="20" spans="1:7" ht="13.5">
      <c r="A20" s="7" t="str">
        <f>IF(ISNUMBER('BIABacus PR 1.3U'!CQ139),"Efficiency into Fermentor (EIF): "&amp;ROUND('BIABacus PR 1.3U'!CQ139,1)&amp;" %","Efficiency into Fermentor (EIF): ")</f>
        <v>Efficiency into Fermentor (EIF): 66.5 %</v>
      </c>
      <c r="B20" s="7"/>
      <c r="C20" s="7"/>
      <c r="D20" s="7"/>
      <c r="E20" s="7"/>
      <c r="F20" s="7"/>
      <c r="G20" s="7"/>
    </row>
    <row r="21" spans="1:7" ht="13.5">
      <c r="A21" s="7"/>
      <c r="B21" s="22" t="s">
        <v>211</v>
      </c>
      <c r="C21" s="7"/>
      <c r="D21" s="7"/>
      <c r="E21" s="7"/>
      <c r="F21" s="7"/>
      <c r="G21" s="7"/>
    </row>
    <row r="22" spans="1:7" ht="13.5">
      <c r="A22" s="26" t="str">
        <f>IF(G2="y","[i]Note: ","Note: ")&amp;IF('BIABacus PR 1.3U'!T139&gt;0,"This is a Multi-Step Mash - See 'Mash Steps' Below",IF('BIABacus PR 1.3U'!BY59="BIAB Variations have been made - See W.","BIAB Variations have been made - See 'BIAB Variations' at end.","This is a Pure BIAB (Full Volume Mash)"))&amp;IF(G2="y","[/i]","")</f>
        <v>[i]Note: This is a Pure BIAB (Full Volume Mash)[/i]</v>
      </c>
      <c r="B22" s="22" t="s">
        <v>317</v>
      </c>
      <c r="C22" s="7"/>
      <c r="D22" s="7"/>
      <c r="E22" s="7"/>
      <c r="F22" s="7"/>
      <c r="G22" s="7"/>
    </row>
    <row r="23" spans="1:7" ht="13.5">
      <c r="A23" s="7"/>
      <c r="B23" s="22" t="s">
        <v>229</v>
      </c>
      <c r="C23" s="7"/>
      <c r="D23" s="7"/>
      <c r="E23" s="7"/>
      <c r="F23" s="7"/>
      <c r="G23" s="7"/>
    </row>
    <row r="24" spans="1:7" ht="13.5">
      <c r="A24" s="11" t="str">
        <f>IF(G2="y","[b]","")&amp;"Times and Temperatures"&amp;IF(G2="y","[/b]","")</f>
        <v>[b]Times and Temperatures[/b]</v>
      </c>
      <c r="B24" s="12" t="s">
        <v>224</v>
      </c>
      <c r="C24" s="7"/>
      <c r="D24" s="7"/>
      <c r="E24" s="7"/>
      <c r="F24" s="7"/>
      <c r="G24" s="7"/>
    </row>
    <row r="25" spans="1:7" ht="13.5">
      <c r="A25" s="8"/>
      <c r="B25" s="7" t="s">
        <v>225</v>
      </c>
      <c r="C25" s="7"/>
      <c r="D25" s="7"/>
      <c r="E25" s="7"/>
      <c r="F25" s="7"/>
      <c r="G25" s="7"/>
    </row>
    <row r="26" spans="1:7" ht="13.5">
      <c r="A26" s="7" t="str">
        <f>IF(ISNUMBER('BIABacus PR 1.3U'!AB130),"Mash: "&amp;'BIABacus PR 1.3U'!T130&amp;" mins at "&amp;ROUND('BIABacus PR 1.3U'!AB130,1)&amp;" C = "&amp;ROUND('BIABacus PR 1.3U'!AG130,1)&amp;" F","Mash: ")</f>
        <v>Mash: 60 mins at 68.3 C = 155 F</v>
      </c>
      <c r="B26" s="22" t="s">
        <v>202</v>
      </c>
      <c r="C26" s="7"/>
      <c r="D26" s="7"/>
      <c r="E26" s="7"/>
      <c r="F26" s="7"/>
      <c r="G26" s="7"/>
    </row>
    <row r="27" spans="1:7" ht="13.5">
      <c r="A27" s="7" t="str">
        <f>"Boil: "&amp;'BIABacus PR 1.3U'!BP33&amp;" min"</f>
        <v>Boil: 60 min</v>
      </c>
      <c r="B27" s="7" t="s">
        <v>203</v>
      </c>
      <c r="C27" s="7"/>
      <c r="D27" s="7"/>
      <c r="E27" s="7"/>
      <c r="F27" s="7"/>
      <c r="G27" s="7"/>
    </row>
    <row r="28" spans="1:2" ht="13.5">
      <c r="A28" s="7" t="str">
        <f>IF(ISNUMBER('BIABacus PR 1.3U'!AB170),"Ferment: "&amp;'BIABacus PR 1.3U'!T170&amp;" days at "&amp;ROUND('BIABacus PR 1.3U'!AB170,1)&amp;" C = "&amp;ROUND('BIABacus PR 1.3U'!AG170,1)&amp;" F","Ferment: ")</f>
        <v>Ferment: </v>
      </c>
      <c r="B28" s="7" t="s">
        <v>209</v>
      </c>
    </row>
    <row r="29" ht="13.5">
      <c r="A29" s="9"/>
    </row>
    <row r="30" ht="13.5">
      <c r="A30" s="11" t="str">
        <f>IF(G2="y","[b]","")&amp;"Volumes &amp; Gravities"&amp;IF(G2="y","[/b]","")</f>
        <v>[b]Volumes &amp; Gravities[/b]</v>
      </c>
    </row>
    <row r="31" ht="13.5">
      <c r="A31" s="7" t="s">
        <v>334</v>
      </c>
    </row>
    <row r="32" ht="13.5">
      <c r="A32" s="7" t="s">
        <v>338</v>
      </c>
    </row>
    <row r="33" ht="13.5">
      <c r="A33" s="10"/>
    </row>
    <row r="34" ht="13.5">
      <c r="A34" s="7" t="str">
        <f>IF(ISNUMBER('BIABacus PR 1.3U'!CQ27),"Total Water Needed (TWN): "&amp;ROUND('BIABacus PR 1.3U'!CQ27,2)&amp;" L = "&amp;ROUND('BIABacus PR 1.3U'!CZ27,2)&amp;" G","Total Water Needed (TWN): ")</f>
        <v>Total Water Needed (TWN): 16.73 L = 4.42 G</v>
      </c>
    </row>
    <row r="35" ht="13.5">
      <c r="A35" s="7" t="str">
        <f>IF(ISNUMBER('BIABacus PR 1.3U'!CQ36),"Volume into Boil (VIB): "&amp;ROUND('BIABacus PR 1.3U'!CQ36,2)&amp;" L = "&amp;ROUND('BIABacus PR 1.3U'!CZ36,2)&amp;" G @ "&amp;ROUND('BIABacus PR 1.3U'!CQ95,3),"Volume into Boil (VIB): ")</f>
        <v>Volume into Boil (VIB): 14.77 L = 3.9 G @ 1.05</v>
      </c>
    </row>
    <row r="36" ht="13.5">
      <c r="A36" s="7" t="str">
        <f>IF(AND(ISNUMBER('BIABacus PR 1.3U'!CQ45),ISNUMBER('BIABacus PR 1.3U'!CQ98)),"Volume of Ambient Wort (VAW): "&amp;ROUND('BIABacus PR 1.3U'!CQ45,2)&amp;" L = "&amp;ROUND('BIABacus PR 1.3U'!CZ45,2)&amp;" G @ "&amp;ROUND('BIABacus PR 1.3U'!CQ98,3),"Volume of Ambient Wort (VAW):")</f>
        <v>Volume of Ambient Wort (VAW): 11.67 L = 3.08 G @ 1.061</v>
      </c>
    </row>
    <row r="37" ht="13.5">
      <c r="A37" s="7" t="str">
        <f>IF(ISNUMBER('BIABacus PR 1.3U'!CQ51),"Volume into Fermentor (VIF): "&amp;ROUND('BIABacus PR 1.3U'!CQ51,2)&amp;" L = "&amp;ROUND('BIABacus PR 1.3U'!CZ51,2)&amp;" G @ "&amp;ROUND('BIABacus PR 1.3U'!P33,3),"Volume into Fermentor (VIF): ")</f>
        <v>Volume into Fermentor (VIF): 10 L = 2.64 G @ 1.061</v>
      </c>
    </row>
    <row r="38" ht="13.5">
      <c r="A38" s="7" t="str">
        <f>IF(ISNUMBER('BIABacus PR 1.3U'!CQ57),"Volume into Packaging (VIP): "&amp;ROUND('BIABacus PR 1.3U'!CQ57,2)&amp;" L = "&amp;ROUND('BIABacus PR 1.3U'!CZ57,2)&amp;" G @ "&amp;ROUND('BIABacus PR 1.3U'!AH36,3)&amp;" assuming apparent attenuation of "&amp;IF('BIABacus PR 1.3U'!AG179&gt;0,'BIABacus PR 1.3U'!AG179&amp;" %","75 %"),"Volume into Packaging (VIP): ")</f>
        <v>Volume into Packaging (VIP): 9.26 L = 2.45 G @ 1.015 assuming apparent attenuation of 75 %</v>
      </c>
    </row>
    <row r="39" ht="13.5">
      <c r="A39" s="7"/>
    </row>
    <row r="40" ht="13.5">
      <c r="A40" s="11" t="str">
        <f>IF(G2="y","[b]","")&amp;"The Grain Bill (Also includes extracts, sugars and adjuncts)"&amp;IF(G2="y","[/b]","")</f>
        <v>[b]The Grain Bill (Also includes extracts, sugars and adjuncts)[/b]</v>
      </c>
    </row>
    <row r="41" ht="13.5">
      <c r="A41" s="7"/>
    </row>
    <row r="42" ht="13.5">
      <c r="A42" s="7" t="s">
        <v>263</v>
      </c>
    </row>
    <row r="43" ht="13.5">
      <c r="A43" s="7"/>
    </row>
    <row r="44" ht="13.5">
      <c r="A44" s="7" t="str">
        <f>IF(ISNUMBER('BIABacus PR 1.3U'!BH55),ROUND('BIABacus PR 1.3U'!BR55,1)&amp;"% "&amp;'BIABacus PR 1.3U'!AY55&amp;IF(ISNUMBER('BIABacus PR 1.3U'!BC55)," ("&amp;'BIABacus PR 1.3U'!BC55&amp;" EBC = "&amp;ROUND('BIABacus PR 1.3U'!BG55,1)&amp;" SRM)   ","   ")&amp;ROUND('BIABacus PR 1.3U'!BH55,0)&amp;" grams = "&amp;ROUND('BIABacus PR 1.3U'!BM55,2)&amp;" pounds"&amp;'BIABacus PR 1.3U'!BW55,"")&amp;IF('BIABacus PR 1.3U'!M55="S"," (Steeped Only)",IF('BIABacus PR 1.3U'!M55="B"," (Boiled Only)",""))</f>
        <v>81.7% American - Pale 2-Row   2529 grams = 5.58 pounds</v>
      </c>
    </row>
    <row r="45" ht="13.5">
      <c r="A45" s="7" t="str">
        <f>IF(ISNUMBER('BIABacus PR 1.3U'!BH58),ROUND('BIABacus PR 1.3U'!BR58,1)&amp;"% "&amp;'BIABacus PR 1.3U'!AY58&amp;IF(ISNUMBER('BIABacus PR 1.3U'!BC58)," ("&amp;'BIABacus PR 1.3U'!BC58&amp;" EBC = "&amp;ROUND('BIABacus PR 1.3U'!BG58,1)&amp;" SRM)   ","   ")&amp;ROUND('BIABacus PR 1.3U'!BH58,0)&amp;" grams = "&amp;ROUND('BIABacus PR 1.3U'!BM58,2)&amp;" pounds"&amp;'BIABacus PR 1.3U'!BW58,"")&amp;IF('BIABacus PR 1.3U'!M58="S"," (Steeped Only)",IF('BIABacus PR 1.3U'!M58="B"," (Boiled Only)",""))</f>
        <v>7.9% Am - Munich - Light 10L   243 grams = 0.54 pounds</v>
      </c>
    </row>
    <row r="46" ht="13.5">
      <c r="A46" s="7" t="str">
        <f>IF(ISNUMBER('BIABacus PR 1.3U'!BH61),ROUND('BIABacus PR 1.3U'!BR61,1)&amp;"% "&amp;'BIABacus PR 1.3U'!AY61&amp;IF(ISNUMBER('BIABacus PR 1.3U'!BC61)," ("&amp;'BIABacus PR 1.3U'!BC61&amp;" EBC = "&amp;ROUND('BIABacus PR 1.3U'!BG61,1)&amp;" SRM)   ","   ")&amp;ROUND('BIABacus PR 1.3U'!BH61,0)&amp;" grams = "&amp;ROUND('BIABacus PR 1.3U'!BM61,2)&amp;" pounds"&amp;'BIABacus PR 1.3U'!BW61,"")&amp;IF('BIABacus PR 1.3U'!M61="S"," (Steeped Only)",IF('BIABacus PR 1.3U'!M61="B"," (Boiled Only)",""))</f>
        <v>3.5% German - CaraFoam   108 grams = 0.24 pounds</v>
      </c>
    </row>
    <row r="47" ht="13.5">
      <c r="A47" s="7" t="str">
        <f>IF(ISNUMBER('BIABacus PR 1.3U'!BH64),ROUND('BIABacus PR 1.3U'!BR64,1)&amp;"% "&amp;'BIABacus PR 1.3U'!AY64&amp;IF(ISNUMBER('BIABacus PR 1.3U'!BC64)," ("&amp;'BIABacus PR 1.3U'!BC64&amp;" EBC = "&amp;ROUND('BIABacus PR 1.3U'!BG64,1)&amp;" SRM)   ","   ")&amp;ROUND('BIABacus PR 1.3U'!BH64,0)&amp;" grams = "&amp;ROUND('BIABacus PR 1.3U'!BM64,2)&amp;" pounds"&amp;'BIABacus PR 1.3U'!BW64,"")&amp;IF('BIABacus PR 1.3U'!M64="S"," (Steeped Only)",IF('BIABacus PR 1.3U'!M64="B"," (Boiled Only)",""))</f>
        <v>3.5% Am - Caramel/Crystal 60L   108 grams = 0.24 pounds</v>
      </c>
    </row>
    <row r="48" ht="13.5">
      <c r="A48" s="7" t="str">
        <f>IF(ISNUMBER('BIABacus PR 1.3U'!BH67),ROUND('BIABacus PR 1.3U'!BR67,1)&amp;"% "&amp;'BIABacus PR 1.3U'!AY67&amp;IF(ISNUMBER('BIABacus PR 1.3U'!BC67)," ("&amp;'BIABacus PR 1.3U'!BC67&amp;" EBC = "&amp;ROUND('BIABacus PR 1.3U'!BG67,1)&amp;" SRM)   ","   ")&amp;ROUND('BIABacus PR 1.3U'!BH67,0)&amp;" grams = "&amp;ROUND('BIABacus PR 1.3U'!BM67,2)&amp;" pounds"&amp;'BIABacus PR 1.3U'!BW67,"")&amp;IF('BIABacus PR 1.3U'!M67="S"," (Steeped Only)",IF('BIABacus PR 1.3U'!M67="B"," (Boiled Only)",""))</f>
        <v>3.5% German - Melanoidin   108 grams = 0.24 pounds</v>
      </c>
    </row>
    <row r="49" ht="13.5">
      <c r="A49" s="7">
        <f>IF(ISNUMBER('BIABacus PR 1.3U'!BH70),ROUND('BIABacus PR 1.3U'!BR70,1)&amp;"% "&amp;'BIABacus PR 1.3U'!AY70&amp;IF(ISNUMBER('BIABacus PR 1.3U'!BC70)," ("&amp;'BIABacus PR 1.3U'!BC70&amp;" EBC = "&amp;ROUND('BIABacus PR 1.3U'!BG70,1)&amp;" SRM)   ","   ")&amp;ROUND('BIABacus PR 1.3U'!BH70,0)&amp;" grams = "&amp;ROUND('BIABacus PR 1.3U'!BM70,2)&amp;" pounds"&amp;'BIABacus PR 1.3U'!BW70,"")&amp;IF('BIABacus PR 1.3U'!M70="S"," (Steeped Only)",IF('BIABacus PR 1.3U'!M70="B"," (Boiled Only)",""))</f>
      </c>
    </row>
    <row r="50" ht="13.5">
      <c r="A50" s="7">
        <f>IF(ISNUMBER('BIABacus PR 1.3U'!BH73),ROUND('BIABacus PR 1.3U'!BR73,1)&amp;"% "&amp;'BIABacus PR 1.3U'!AY73&amp;IF(ISNUMBER('BIABacus PR 1.3U'!BC73)," ("&amp;'BIABacus PR 1.3U'!BC73&amp;" EBC = "&amp;ROUND('BIABacus PR 1.3U'!BG73,1)&amp;" SRM)   ","   ")&amp;ROUND('BIABacus PR 1.3U'!BH73,0)&amp;" grams = "&amp;ROUND('BIABacus PR 1.3U'!BM73,2)&amp;" pounds"&amp;'BIABacus PR 1.3U'!BW73,"")&amp;IF('BIABacus PR 1.3U'!M73="S"," (Steeped Only)",IF('BIABacus PR 1.3U'!M73="B"," (Boiled Only)",""))</f>
      </c>
    </row>
    <row r="51" ht="13.5">
      <c r="A51" s="7">
        <f>IF(ISNUMBER('BIABacus PR 1.3U'!BH76),ROUND('BIABacus PR 1.3U'!BR76,1)&amp;"% "&amp;'BIABacus PR 1.3U'!AY76&amp;IF(ISNUMBER('BIABacus PR 1.3U'!BC76)," ("&amp;'BIABacus PR 1.3U'!BC76&amp;" EBC = "&amp;ROUND('BIABacus PR 1.3U'!BG76,1)&amp;" SRM)   ","   ")&amp;ROUND('BIABacus PR 1.3U'!BH76,0)&amp;" grams = "&amp;ROUND('BIABacus PR 1.3U'!BM76,2)&amp;" pounds"&amp;'BIABacus PR 1.3U'!BW76,"")&amp;IF('BIABacus PR 1.3U'!M76="S"," (Steeped Only)",IF('BIABacus PR 1.3U'!M76="B"," (Boiled Only)",""))</f>
      </c>
    </row>
    <row r="52" ht="13.5">
      <c r="A52" s="11"/>
    </row>
    <row r="53" ht="13.5">
      <c r="A53" s="11" t="str">
        <f>IF(G2="y","[b]","")&amp;"The Hop Bill"&amp;IF(G2="y","[/b]"&amp;" (Based on Tinseth Formula)","")</f>
        <v>[b]The Hop Bill[/b] (Based on Tinseth Formula)</v>
      </c>
    </row>
    <row r="54" ht="13.5">
      <c r="A54" s="7"/>
    </row>
    <row r="55" spans="1:7" ht="13.5">
      <c r="A55" s="8" t="str">
        <f>IF(ISNUMBER('BIABacus PR 1.3U'!BH98),ROUND('BIABacus PR 1.3U'!BR98,1)&amp;" IBU "&amp;'BIABacus PR 1.3U'!AY98&amp;""&amp;IF('BIABacus PR 1.3U'!BQ98="FL"," Flowers (",IF('BIABacus PR 1.3U'!BQ98="PL"," Plugs ("," Pellets ("))&amp;'BIABacus PR 1.3U'!BC98&amp;"%AA)  "&amp;ROUND('BIABacus PR 1.3U'!BH98,1)&amp;" grams = "&amp;ROUND('BIABacus PR 1.3U'!BM98,3)&amp;" ounces at  "&amp;IF(ISNUMBER('BIABacus PR 1.3U'!BD98),'BIABacus PR 1.3U'!BD98&amp;" mins",'BIABacus PR 1.3U'!T98&amp;" mins"),"")&amp;IF(OR('BIABacus PR 1.3U'!M98="DR",'BIABacus PR 1.3U'!M98="DH",'BIABacus PR 1.3U'!AW98="DR",'BIABacus PR 1.3U'!AW98="DH")," (Dry Hopped)",IF(OR('BIABacus PR 1.3U'!M98="FW",'BIABacus PR 1.3U'!AW98="FW")," (First Wort Hopped)",""))</f>
        <v> (First Wort Hopped)</v>
      </c>
      <c r="B55" s="10"/>
      <c r="C55" s="10"/>
      <c r="D55" s="10"/>
      <c r="E55" s="10"/>
      <c r="F55" s="10"/>
      <c r="G55" s="7"/>
    </row>
    <row r="56" ht="13.5">
      <c r="A56" s="8" t="str">
        <f>IF(ISNUMBER('BIABacus PR 1.3U'!BH101),ROUND('BIABacus PR 1.3U'!BR101,1)&amp;" IBU "&amp;'BIABacus PR 1.3U'!AY101&amp;""&amp;IF('BIABacus PR 1.3U'!BQ101="FL"," Flowers (",IF('BIABacus PR 1.3U'!BQ101="PL"," Plugs ("," Pellets ("))&amp;'BIABacus PR 1.3U'!BC101&amp;"%AA)  "&amp;ROUND('BIABacus PR 1.3U'!BH101,1)&amp;" grams = "&amp;ROUND('BIABacus PR 1.3U'!BM101,3)&amp;" ounces at  "&amp;IF(ISNUMBER('BIABacus PR 1.3U'!BD101),'BIABacus PR 1.3U'!BD101&amp;" mins",'BIABacus PR 1.3U'!T101&amp;" mins"),"")&amp;IF(OR('BIABacus PR 1.3U'!M101="DR",'BIABacus PR 1.3U'!M101="DH",'BIABacus PR 1.3U'!AW101="DR",'BIABacus PR 1.3U'!AW101="DH")," (Dry Hopped)",IF(OR('BIABacus PR 1.3U'!M101="FW",'BIABacus PR 1.3U'!AW101="FW")," (First Wort Hopped)",""))</f>
        <v>28.1 IBU Citra Pellets (11%AA)  26.2 grams = 0.922 ounces at  15 mins</v>
      </c>
    </row>
    <row r="57" ht="13.5">
      <c r="A57" s="8" t="str">
        <f>IF(ISNUMBER('BIABacus PR 1.3U'!BH104),ROUND('BIABacus PR 1.3U'!BR104,1)&amp;" IBU "&amp;'BIABacus PR 1.3U'!AY104&amp;""&amp;IF('BIABacus PR 1.3U'!BQ104="FL"," Flowers (",IF('BIABacus PR 1.3U'!BQ104="PL"," Plugs ("," Pellets ("))&amp;'BIABacus PR 1.3U'!BC104&amp;"%AA)  "&amp;ROUND('BIABacus PR 1.3U'!BH104,1)&amp;" grams = "&amp;ROUND('BIABacus PR 1.3U'!BM104,3)&amp;" ounces at  "&amp;IF(ISNUMBER('BIABacus PR 1.3U'!BD104),'BIABacus PR 1.3U'!BD104&amp;" mins",'BIABacus PR 1.3U'!T104&amp;" mins"),"")&amp;IF(OR('BIABacus PR 1.3U'!M104="DR",'BIABacus PR 1.3U'!M104="DH",'BIABacus PR 1.3U'!AW104="DR",'BIABacus PR 1.3U'!AW104="DH")," (Dry Hopped)",IF(OR('BIABacus PR 1.3U'!M104="FW",'BIABacus PR 1.3U'!AW104="FW")," (First Wort Hopped)",""))</f>
        <v>20.5 IBU Citra Pellets (11%AA)  26.2 grams = 0.922 ounces at  10 mins</v>
      </c>
    </row>
    <row r="58" ht="13.5">
      <c r="A58" s="8" t="str">
        <f>IF(ISNUMBER('BIABacus PR 1.3U'!BH107),ROUND('BIABacus PR 1.3U'!BR107,1)&amp;" IBU "&amp;'BIABacus PR 1.3U'!AY107&amp;""&amp;IF('BIABacus PR 1.3U'!BQ107="FL"," Flowers (",IF('BIABacus PR 1.3U'!BQ107="PL"," Plugs ("," Pellets ("))&amp;'BIABacus PR 1.3U'!BC107&amp;"%AA)  "&amp;ROUND('BIABacus PR 1.3U'!BH107,1)&amp;" grams = "&amp;ROUND('BIABacus PR 1.3U'!BM107,3)&amp;" ounces at  "&amp;IF(ISNUMBER('BIABacus PR 1.3U'!BD107),'BIABacus PR 1.3U'!BD107&amp;" mins",'BIABacus PR 1.3U'!T107&amp;" mins"),"")&amp;IF(OR('BIABacus PR 1.3U'!M107="DR",'BIABacus PR 1.3U'!M107="DH",'BIABacus PR 1.3U'!AW107="DR",'BIABacus PR 1.3U'!AW107="DH")," (Dry Hopped)",IF(OR('BIABacus PR 1.3U'!M107="FW",'BIABacus PR 1.3U'!AW107="FW")," (First Wort Hopped)",""))</f>
        <v>11.3 IBU Citra Pellets (11%AA)  26.2 grams = 0.922 ounces at  5 mins</v>
      </c>
    </row>
    <row r="59" ht="13.5">
      <c r="A59" s="8" t="str">
        <f>IF(ISNUMBER('BIABacus PR 1.3U'!BH110),ROUND('BIABacus PR 1.3U'!BR110,1)&amp;" IBU "&amp;'BIABacus PR 1.3U'!AY110&amp;""&amp;IF('BIABacus PR 1.3U'!BQ110="FL"," Flowers (",IF('BIABacus PR 1.3U'!BQ110="PL"," Plugs ("," Pellets ("))&amp;'BIABacus PR 1.3U'!BC110&amp;"%AA)  "&amp;ROUND('BIABacus PR 1.3U'!BH110,1)&amp;" grams = "&amp;ROUND('BIABacus PR 1.3U'!BM110,3)&amp;" ounces at  "&amp;IF(ISNUMBER('BIABacus PR 1.3U'!BD110),'BIABacus PR 1.3U'!BD110&amp;" mins",'BIABacus PR 1.3U'!T110&amp;" mins"),"")&amp;IF(OR('BIABacus PR 1.3U'!M110="DR",'BIABacus PR 1.3U'!M110="DH",'BIABacus PR 1.3U'!AW110="DR",'BIABacus PR 1.3U'!AW110="DH")," (Dry Hopped)",IF(OR('BIABacus PR 1.3U'!M110="FW",'BIABacus PR 1.3U'!AW110="FW")," (First Wort Hopped)",""))</f>
        <v>2.4 IBU Citra Pellets (11%AA)  26.2 grams = 0.922 ounces at  1 mins</v>
      </c>
    </row>
    <row r="60" ht="13.5">
      <c r="A60" s="8" t="str">
        <f>IF(ISNUMBER('BIABacus PR 1.3U'!BH113),ROUND('BIABacus PR 1.3U'!BR113,1)&amp;" IBU "&amp;'BIABacus PR 1.3U'!AY113&amp;""&amp;IF('BIABacus PR 1.3U'!BQ113="FL"," Flowers (",IF('BIABacus PR 1.3U'!BQ113="PL"," Plugs ("," Pellets ("))&amp;'BIABacus PR 1.3U'!BC113&amp;"%AA)  "&amp;ROUND('BIABacus PR 1.3U'!BH113,1)&amp;" grams = "&amp;ROUND('BIABacus PR 1.3U'!BM113,3)&amp;" ounces at  "&amp;IF(ISNUMBER('BIABacus PR 1.3U'!BD113),'BIABacus PR 1.3U'!BD113&amp;" mins",'BIABacus PR 1.3U'!T113&amp;" mins"),"")&amp;IF(OR('BIABacus PR 1.3U'!M113="DR",'BIABacus PR 1.3U'!M113="DH",'BIABacus PR 1.3U'!AW113="DR",'BIABacus PR 1.3U'!AW113="DH")," (Dry Hopped)",IF(OR('BIABacus PR 1.3U'!M113="FW",'BIABacus PR 1.3U'!AW113="FW")," (First Wort Hopped)",""))</f>
        <v>0 IBU Citra Pellets (11%AA)  62.8 grams = 2.214 ounces at   mins (Dry Hopped)</v>
      </c>
    </row>
    <row r="61" ht="13.5">
      <c r="A61" s="8">
        <f>IF(ISNUMBER('BIABacus PR 1.3U'!BH116),ROUND('BIABacus PR 1.3U'!BR116,1)&amp;" IBU "&amp;'BIABacus PR 1.3U'!AY116&amp;""&amp;IF('BIABacus PR 1.3U'!BQ116="FL"," Flowers (",IF('BIABacus PR 1.3U'!BQ116="PL"," Plugs ("," Pellets ("))&amp;'BIABacus PR 1.3U'!BC116&amp;"%AA)  "&amp;ROUND('BIABacus PR 1.3U'!BH116,1)&amp;" grams = "&amp;ROUND('BIABacus PR 1.3U'!BM116,3)&amp;" ounces at  "&amp;IF(ISNUMBER('BIABacus PR 1.3U'!BD116),'BIABacus PR 1.3U'!BD116&amp;" mins",'BIABacus PR 1.3U'!T116&amp;" mins"),"")&amp;IF(OR('BIABacus PR 1.3U'!M116="DR",'BIABacus PR 1.3U'!M116="DH",'BIABacus PR 1.3U'!AW116="DR",'BIABacus PR 1.3U'!AW116="DH")," (Dry Hopped)",IF(OR('BIABacus PR 1.3U'!M116="FW",'BIABacus PR 1.3U'!AW116="FW")," (First Wort Hopped)",""))</f>
      </c>
    </row>
    <row r="62" ht="13.5">
      <c r="A62" s="8">
        <f>IF(ISNUMBER('BIABacus PR 1.3U'!BH119),ROUND('BIABacus PR 1.3U'!BR119,1)&amp;" IBU "&amp;'BIABacus PR 1.3U'!AY119&amp;""&amp;IF('BIABacus PR 1.3U'!BQ119="FL"," Flowers (",IF('BIABacus PR 1.3U'!BQ119="PL"," Plugs ("," Pellets ("))&amp;'BIABacus PR 1.3U'!BC119&amp;"%AA)  "&amp;ROUND('BIABacus PR 1.3U'!BH119,1)&amp;" grams = "&amp;ROUND('BIABacus PR 1.3U'!BM119,3)&amp;" ounces at  "&amp;IF(ISNUMBER('BIABacus PR 1.3U'!BD119),'BIABacus PR 1.3U'!BD119&amp;" mins",'BIABacus PR 1.3U'!T119&amp;" mins"),"")&amp;IF(OR('BIABacus PR 1.3U'!M119="DR",'BIABacus PR 1.3U'!M119="DH",'BIABacus PR 1.3U'!AW119="DR",'BIABacus PR 1.3U'!AW119="DH")," (Dry Hopped)",IF(OR('BIABacus PR 1.3U'!M119="FW",'BIABacus PR 1.3U'!AW119="FW")," (First Wort Hopped)",""))</f>
      </c>
    </row>
    <row r="64" ht="13.5">
      <c r="A64" s="23" t="str">
        <f>IF(G2="y","[b]","")&amp;"Mash Steps"&amp;IF(G2="y","[/b]","")</f>
        <v>[b]Mash Steps[/b]</v>
      </c>
    </row>
    <row r="66" ht="13.5">
      <c r="A66" s="22" t="str">
        <f>IF('BIABacus PR 1.3U'!T130&gt;0,"Mash Type: "&amp;'BIABacus PR 1.3U'!B130&amp;'BIABacus PR 1.3U'!AA136&amp;" "&amp;"for "&amp;'BIABacus PR 1.3U'!T130&amp;" mins at "&amp;ROUND('BIABacus PR 1.3U'!AB130,1)&amp;" C = "&amp;ROUND('BIABacus PR 1.3U'!AG130,1)&amp;" F","")</f>
        <v>Mash Type: Pure BIAB (Full-Volume Mash):  Saccharifiaction for 60 mins at 68.3 C = 155 F</v>
      </c>
    </row>
    <row r="67" spans="1:2" ht="13.5">
      <c r="A67" s="22">
        <f>IF(ISNUMBER('BIABacus PR 1.3U'!EA64),"Water Held Back from Mash: "&amp;ROUND('BIABacus PR 1.3U'!EA64,2)&amp;" L = "&amp;ROUND('BIABacus PR 1.3U'!EJ64,2)&amp;" G","")</f>
      </c>
      <c r="B67" s="24"/>
    </row>
    <row r="68" spans="1:2" ht="13.5">
      <c r="A68" s="22" t="e">
        <f>IF(ISNUMBER('BIABacus PR 1.3U'!CQ30),"Strike Water Needed (SWN): "&amp;ROUND('BIABacus PR 1.3U'!CQ30,2)&amp;" L = "&amp;ROUND('BIABacus PR 1.3U'!CZ30,2)&amp;" G "&amp;ROUND('BIABacus PR 1.3U'!AB133,1)&amp;" C = "&amp;ROUND('BIABacus PR 1.3U'!AG133,1)&amp;" F","Strike Water Needed (SWN): ")</f>
        <v>#VALUE!</v>
      </c>
      <c r="B68" s="24"/>
    </row>
    <row r="69" spans="1:2" ht="13.5">
      <c r="A69" s="22">
        <f>IF('BIABacus PR 1.3U'!T139&gt;0,'BIABacus PR 1.3U'!J139&amp;" for "&amp;'BIABacus PR 1.3U'!T139&amp;" mins at "&amp;'BIABacus PR 1.3U'!AB139&amp;" C = "&amp;'BIABacus PR 1.3U'!AG139&amp;" F","")</f>
      </c>
      <c r="B69" s="24"/>
    </row>
    <row r="70" spans="1:2" ht="13.5">
      <c r="A70" s="22">
        <f>IF('BIABacus PR 1.3U'!T142&gt;0,'BIABacus PR 1.3U'!J142&amp;" for "&amp;'BIABacus PR 1.3U'!T142&amp;" mins at "&amp;'BIABacus PR 1.3U'!AB142&amp;" C = "&amp;'BIABacus PR 1.3U'!AG142&amp;" F","")</f>
      </c>
      <c r="B70" s="24"/>
    </row>
    <row r="71" ht="13.5">
      <c r="A71" s="22">
        <f>IF('BIABacus PR 1.3U'!T145&gt;0,'BIABacus PR 1.3U'!J145&amp;" for "&amp;'BIABacus PR 1.3U'!T145&amp;" mins at "&amp;'BIABacus PR 1.3U'!AB145&amp;" C = "&amp;'BIABacus PR 1.3U'!AG145&amp;" F","")</f>
      </c>
    </row>
    <row r="72" ht="13.5">
      <c r="A72" s="22">
        <f>IF(ISNUMBER('BIABacus PR 1.3U'!EA67),"Water Used in a Sparge: "&amp;ROUND('BIABacus PR 1.3U'!EA67,2)&amp;" L = "&amp;ROUND('BIABacus PR 1.3U'!EJ67,2)&amp;" G","")</f>
      </c>
    </row>
    <row r="73" ht="13.5">
      <c r="A73" s="22">
        <f>IF('BIABacus PR 1.3U'!T148="","",'BIABacus PR 1.3U'!J148&amp;" for "&amp;'BIABacus PR 1.3U'!T148&amp;" mins at "&amp;'BIABacus PR 1.3U'!AB148&amp;" C = "&amp;'BIABacus PR 1.3U'!AG148&amp;" F")</f>
      </c>
    </row>
    <row r="74" ht="13.5">
      <c r="A74" s="22">
        <f>IF(ISNUMBER('BIABacus PR 1.3U'!EA73),"Water Added After Final Lauter: "&amp;ROUND('BIABacus PR 1.3U'!EA73,2)&amp;" L = "&amp;ROUND('BIABacus PR 1.3U'!EJ73,2)&amp;" G","")</f>
      </c>
    </row>
    <row r="75" ht="13.5">
      <c r="A75" s="22">
        <f>IF(ISNUMBER('BIABacus PR 1.3U'!EA76),"Water Added During Boil: "&amp;ROUND('BIABacus PR 1.3U'!EA76,2)&amp;" L = "&amp;ROUND('BIABacus PR 1.3U'!EJ76,2)&amp;" G","")</f>
      </c>
    </row>
    <row r="76" ht="13.5">
      <c r="A76" s="22">
        <f>IF(ISNUMBER('BIABacus PR 1.3U'!EA79),"Water Added to Fermentor: "&amp;ROUND('BIABacus PR 1.3U'!EA79,2)&amp;" L = "&amp;ROUND('BIABacus PR 1.3U'!EJ79,2)&amp;" G","")</f>
      </c>
    </row>
    <row r="78" ht="13.5">
      <c r="A78" s="23" t="str">
        <f>IF(G2="y","[b]","")&amp;"Miscellaneous Ingredients"&amp;IF(G2="y","[/b]","")</f>
        <v>[b]Miscellaneous Ingredients[/b]</v>
      </c>
    </row>
    <row r="79" ht="13.5">
      <c r="A79" s="22">
        <f>IF(AND('BIABacus PR 1.3U'!AN132&gt;0,'BIABacus PR 1.3U'!BR132&gt;0,'BIABacus PR 1.3U'!BB132&gt;0,'BIABacus PR 1.3U'!BG132&gt;0,'BIABacus PR 1.3U'!BK132&gt;0),'BIABacus PR 1.3U'!BR132&amp;" "&amp;'BIABacus PR 1.3U'!AN132&amp;" ("&amp;'BIABacus PR 1.3U'!BB132&amp;" "&amp;'BIABacus PR 1.3U'!BG132&amp;"Mins) - "&amp;'BIABacus PR 1.3U'!BK132,"")</f>
      </c>
    </row>
    <row r="80" ht="13.5">
      <c r="A80" s="24">
        <f>IF('BIABacus PR 1.3U'!AN133&gt;0,IF('BIABacus PR 1.3U'!BR133&gt;0,ROUND('BIABacus PR 1.3U'!BR133,2)&amp;" "&amp;'BIABacus PR 1.3U'!AN133&amp;" ",'BIABacus PR 1.3U'!AN133&amp;" "),"")&amp;IF(AND('BIABacus PR 1.3U'!AN133&gt;0,'BIABacus PR 1.3U'!BB133&gt;0,'BIABacus PR 1.3U'!BG133&gt;0),"("&amp;'BIABacus PR 1.3U'!BB133&amp;")"&amp;" "&amp;'BIABacus PR 1.3U'!BG133,IF(OR(AND('BIABacus PR 1.3U'!AN133&gt;0,'BIABacus PR 1.3U'!BB133&gt;0,'BIABacus PR 1.3U'!BG133=""),AND('BIABacus PR 1.3U'!AN133&gt;0,'BIABacus PR 1.3U'!BB133="",'BIABacus PR 1.3U'!BG133&gt;0)),"("&amp;'BIABacus PR 1.3U'!BB133&amp;")"&amp;'BIABacus PR 1.3U'!BG133,""))&amp;IF(AND('BIABacus PR 1.3U'!AN133&gt;0,'BIABacus PR 1.3U'!BG133&gt;0)," Mins","")&amp;IF(AND('BIABacus PR 1.3U'!AN133&gt;0,'BIABacus PR 1.3U'!BK133&gt;0)," - "&amp;'BIABacus PR 1.3U'!BK133,"")</f>
      </c>
    </row>
    <row r="81" ht="13.5">
      <c r="A81" s="24">
        <f>IF('BIABacus PR 1.3U'!AN136&gt;0,IF('BIABacus PR 1.3U'!BR136&gt;0,ROUND('BIABacus PR 1.3U'!BR136,2)&amp;" "&amp;'BIABacus PR 1.3U'!AN136&amp;" ",'BIABacus PR 1.3U'!AN136&amp;" "),"")&amp;IF(AND('BIABacus PR 1.3U'!AN136&gt;0,'BIABacus PR 1.3U'!BB136&gt;0,'BIABacus PR 1.3U'!BG136&gt;0),"("&amp;'BIABacus PR 1.3U'!BB136&amp;" "&amp;'BIABacus PR 1.3U'!BG136&amp;")",IF(OR(AND('BIABacus PR 1.3U'!AN136&gt;0,'BIABacus PR 1.3U'!BB136&gt;0,'BIABacus PR 1.3U'!BG136=""),AND('BIABacus PR 1.3U'!AN136&gt;0,'BIABacus PR 1.3U'!BB136="",'BIABacus PR 1.3U'!BG136&gt;0)),"("&amp;'BIABacus PR 1.3U'!BB136&amp;'BIABacus PR 1.3U'!BG136&amp;")",""))&amp;IF(AND('BIABacus PR 1.3U'!AN136&gt;0,'BIABacus PR 1.3U'!BG136&gt;0)," Mins","")&amp;IF(AND('BIABacus PR 1.3U'!AN136&gt;0,'BIABacus PR 1.3U'!BK136&gt;0)," - "&amp;'BIABacus PR 1.3U'!BK136,"")</f>
      </c>
    </row>
    <row r="82" ht="13.5">
      <c r="A82" s="24">
        <f>IF('BIABacus PR 1.3U'!AN139&gt;0,IF('BIABacus PR 1.3U'!BR139&gt;0,ROUND('BIABacus PR 1.3U'!BR139,2)&amp;" "&amp;'BIABacus PR 1.3U'!AN139&amp;" ",'BIABacus PR 1.3U'!AN139&amp;" "),"")&amp;IF(AND('BIABacus PR 1.3U'!AN139&gt;0,'BIABacus PR 1.3U'!BB139&gt;0,'BIABacus PR 1.3U'!BG139&gt;0),"("&amp;'BIABacus PR 1.3U'!BB139&amp;" "&amp;'BIABacus PR 1.3U'!BG139&amp;")",IF(OR(AND('BIABacus PR 1.3U'!AN139&gt;0,'BIABacus PR 1.3U'!BB139&gt;0,'BIABacus PR 1.3U'!BG139=""),AND('BIABacus PR 1.3U'!AN139&gt;0,'BIABacus PR 1.3U'!BB139="",'BIABacus PR 1.3U'!BG139&gt;0)),"("&amp;'BIABacus PR 1.3U'!BB139&amp;'BIABacus PR 1.3U'!BG139&amp;")",""))&amp;IF(AND('BIABacus PR 1.3U'!AN139&gt;0,'BIABacus PR 1.3U'!BG139&gt;0)," Mins","")&amp;IF(AND('BIABacus PR 1.3U'!AN139&gt;0,'BIABacus PR 1.3U'!BK139&gt;0)," - "&amp;'BIABacus PR 1.3U'!BK139,"")</f>
      </c>
    </row>
    <row r="83" ht="13.5">
      <c r="A83" s="24">
        <f>IF('BIABacus PR 1.3U'!AN142&gt;0,IF('BIABacus PR 1.3U'!BR142&gt;0,ROUND('BIABacus PR 1.3U'!BR142,2)&amp;" "&amp;'BIABacus PR 1.3U'!AN142&amp;" ",'BIABacus PR 1.3U'!AN142&amp;" "),"")&amp;IF(AND('BIABacus PR 1.3U'!AN142&gt;0,'BIABacus PR 1.3U'!BB142&gt;0,'BIABacus PR 1.3U'!BG142&gt;0),"("&amp;'BIABacus PR 1.3U'!BB142&amp;" "&amp;'BIABacus PR 1.3U'!BG142&amp;")",IF(OR(AND('BIABacus PR 1.3U'!AN142&gt;0,'BIABacus PR 1.3U'!BB142&gt;0,'BIABacus PR 1.3U'!BG142=""),AND('BIABacus PR 1.3U'!AN142&gt;0,'BIABacus PR 1.3U'!BB142="",'BIABacus PR 1.3U'!BG142&gt;0)),"("&amp;'BIABacus PR 1.3U'!BB142&amp;'BIABacus PR 1.3U'!BG142&amp;")",""))&amp;IF(AND('BIABacus PR 1.3U'!AN142&gt;0,'BIABacus PR 1.3U'!BG142&gt;0)," Mins","")&amp;IF(AND('BIABacus PR 1.3U'!AN142&gt;0,'BIABacus PR 1.3U'!BK142&gt;0)," - "&amp;'BIABacus PR 1.3U'!BK142,"")</f>
      </c>
    </row>
    <row r="84" ht="13.5">
      <c r="A84" s="24">
        <f>IF('BIABacus PR 1.3U'!AN145&gt;0,IF('BIABacus PR 1.3U'!BR145&gt;0,ROUND('BIABacus PR 1.3U'!BR145,2)&amp;" "&amp;'BIABacus PR 1.3U'!AN145&amp;" ",'BIABacus PR 1.3U'!AN145&amp;" "),"")&amp;IF(AND('BIABacus PR 1.3U'!AN145&gt;0,'BIABacus PR 1.3U'!BB145&gt;0,'BIABacus PR 1.3U'!BG145&gt;0),"("&amp;'BIABacus PR 1.3U'!BB145&amp;" "&amp;'BIABacus PR 1.3U'!BG145&amp;")",IF(OR(AND('BIABacus PR 1.3U'!AN145&gt;0,'BIABacus PR 1.3U'!BB145&gt;0,'BIABacus PR 1.3U'!BG145=""),AND('BIABacus PR 1.3U'!AN145&gt;0,'BIABacus PR 1.3U'!BB145="",'BIABacus PR 1.3U'!BG145&gt;0)),"("&amp;'BIABacus PR 1.3U'!BB145&amp;'BIABacus PR 1.3U'!BG145&amp;")",""))&amp;IF(AND('BIABacus PR 1.3U'!AN145&gt;0,'BIABacus PR 1.3U'!BG145&gt;0)," Mins","")&amp;IF(AND('BIABacus PR 1.3U'!AN145&gt;0,'BIABacus PR 1.3U'!BK145&gt;0)," - "&amp;'BIABacus PR 1.3U'!BK145,"")</f>
      </c>
    </row>
    <row r="85" ht="13.5">
      <c r="A85" s="24">
        <f>IF('BIABacus PR 1.3U'!AN148&gt;0,IF('BIABacus PR 1.3U'!BR148&gt;0,ROUND('BIABacus PR 1.3U'!BR148,2)&amp;" "&amp;'BIABacus PR 1.3U'!AN148&amp;" ",'BIABacus PR 1.3U'!AN148&amp;" "),"")&amp;IF(AND('BIABacus PR 1.3U'!AN148&gt;0,'BIABacus PR 1.3U'!BB148&gt;0,'BIABacus PR 1.3U'!BG148&gt;0),"("&amp;'BIABacus PR 1.3U'!BB148&amp;" "&amp;'BIABacus PR 1.3U'!BG148&amp;")",IF(OR(AND('BIABacus PR 1.3U'!AN148&gt;0,'BIABacus PR 1.3U'!BB148&gt;0,'BIABacus PR 1.3U'!BG148=""),AND('BIABacus PR 1.3U'!AN148&gt;0,'BIABacus PR 1.3U'!BB148="",'BIABacus PR 1.3U'!BG148&gt;0)),"("&amp;'BIABacus PR 1.3U'!BB148&amp;'BIABacus PR 1.3U'!BG148&amp;")",""))&amp;IF(AND('BIABacus PR 1.3U'!AN148&gt;0,'BIABacus PR 1.3U'!BG148&gt;0)," Mins","")&amp;IF(AND('BIABacus PR 1.3U'!AN148&gt;0,'BIABacus PR 1.3U'!BK148&gt;0)," - "&amp;'BIABacus PR 1.3U'!BK148,"")</f>
      </c>
    </row>
    <row r="87" ht="13.5">
      <c r="A87" s="23" t="str">
        <f>IF(G2="y","[b]","")&amp;"Chilling &amp; Hop Management Methods"&amp;IF(G2="y","[/b]","")</f>
        <v>[b]Chilling &amp; Hop Management Methods[/b]</v>
      </c>
    </row>
    <row r="89" ht="13.5">
      <c r="A89" s="22">
        <f>IF('BIABacus PR 1.3U'!K155&gt;0,"Hopsock Used: "&amp;'BIABacus PR 1.3U'!K155&amp;IF(ISNUMBER('BIABacus PR 1.3U'!S155)," (Pulled "&amp;'BIABacus PR 1.3U'!S155&amp;" mins after boil end.)",""),"")</f>
      </c>
    </row>
    <row r="90" ht="13.5">
      <c r="A90" s="22">
        <f>IF(ISNUMBER('BIABacus PR 1.3U'!AF155),"Whirlpool: "&amp;'BIABacus PR 1.3U'!AF155&amp;" mins after boil end.","")</f>
      </c>
    </row>
    <row r="91" ht="13.5">
      <c r="A91" s="22">
        <f>IF('BIABacus PR 1.3U'!K158&gt;0,"Chilling Method: "&amp;'BIABacus PR 1.3U'!K158&amp;IF(ISNUMBER('BIABacus PR 1.3U'!AF158)," (Employed "&amp;'BIABacus PR 1.3U'!AF158&amp;" mins after boil end.)",""),"")</f>
      </c>
    </row>
    <row r="93" ht="13.5">
      <c r="A93" s="23" t="str">
        <f>IF(G2="y","[b]","")&amp;"Fermentation &amp; Conditioning"&amp;IF(G2="y","[/b]","")</f>
        <v>[b]Fermentation &amp; Conditioning[/b]</v>
      </c>
    </row>
    <row r="95" ht="13.5">
      <c r="A95" s="22" t="str">
        <f>IF('BIABacus PR 1.3U'!F170&gt;0,"Fermentation: "&amp;'BIABacus PR 1.3U'!F170&amp;IF('BIABacus PR 1.3U'!T170&gt;0," for "&amp;'BIABacus PR 1.3U'!T170&amp;" days","")&amp;IF('BIABacus PR 1.3U'!AB170&gt;0," at "&amp;'BIABacus PR 1.3U'!AB170&amp;" C = "&amp;'BIABacus PR 1.3U'!AG170&amp;" F",""),"")</f>
        <v>Fermentation: Safale - English Ale Yeast S-04</v>
      </c>
    </row>
    <row r="96" ht="13.5">
      <c r="A96" s="22">
        <f>IF('BIABacus PR 1.3U'!T173&gt;0,"Diacetyl Rest: "&amp;'BIABacus PR 1.3U'!T173&amp;" days "&amp;IF(ISNUMBER('BIABacus PR 1.3U'!AB173)," at "&amp;'BIABacus PR 1.3U'!AB173&amp;" C = "&amp;'BIABacus PR 1.3U'!AG173&amp;" F",""),"")</f>
      </c>
    </row>
    <row r="97" ht="13.5">
      <c r="A97" s="22">
        <f>IF('BIABacus PR 1.3U'!L176&gt;0,"Secondary Used: "&amp;'BIABacus PR 1.3U'!L176,"")</f>
      </c>
    </row>
    <row r="98" ht="13.5">
      <c r="A98" s="22">
        <f>IF('BIABacus PR 1.3U'!Y176&gt;0,"Crash-Chilled: "&amp;'BIABacus PR 1.3U'!Y176,"")</f>
      </c>
    </row>
    <row r="99" ht="13.5">
      <c r="A99" s="22">
        <f>IF('BIABacus PR 1.3U'!AJ176&gt;0,"Filtered: "&amp;'BIABacus PR 1.3U'!AJ176,"")</f>
      </c>
    </row>
    <row r="100" ht="13.5">
      <c r="A100" s="22">
        <f>IF('BIABacus PR 1.3U'!CK145&gt;0,"Req. Volumes of CO2: "&amp;'BIABacus PR 1.3U'!CK145,"")</f>
      </c>
    </row>
    <row r="101" ht="13.5">
      <c r="A101" s="22">
        <f>IF('BIABacus PR 1.3U'!K185&gt;0,"Serving Temp: "&amp;'BIABacus PR 1.3U'!K185&amp;" C = "&amp;'BIABacus PR 1.3U'!P185&amp;" F","")</f>
      </c>
    </row>
    <row r="102" ht="13.5">
      <c r="A102" s="22">
        <f>IF('BIABacus PR 1.3U'!K182&gt;0,"Condition for "&amp;'BIABacus PR 1.3U'!K182&amp;" days.","")</f>
      </c>
    </row>
    <row r="103" ht="13.5">
      <c r="A103" s="22">
        <f>IF('BIABacus PR 1.3U'!AB182&gt;0,"Consume within "&amp;'BIABacus PR 1.3U'!AB182&amp;" months.","")</f>
      </c>
    </row>
    <row r="105" ht="13.5">
      <c r="A105" s="23" t="str">
        <f>IF(G2="y","[b]","")&amp;"Special Instructions/Notes on this Beer"&amp;IF(G2="y","[/b]","")</f>
        <v>[b]Special Instructions/Notes on this Beer[/b]</v>
      </c>
    </row>
    <row r="107" ht="15">
      <c r="A107" s="25">
        <f>IF('BIABacus PR 1.3U'!AM155&gt;0,'BIABacus PR 1.3U'!AM155,"")</f>
      </c>
    </row>
    <row r="109" ht="13.5">
      <c r="A109" s="23">
        <f>IF(ISNUMBER('BIABacus PR 1.3U'!EA64),IF('Recipe Report'!G2="Y","[b]BIAB Variations[/b]","BIAB Variations"),"")</f>
      </c>
    </row>
    <row r="111" ht="13.5">
      <c r="A111" s="22">
        <f>IF(ISNUMBER('BIABacus PR 1.3U'!EA64),"Water Held Back from Mash: "&amp;ROUND('BIABacus PR 1.3U'!EA64,2)&amp;" L = "&amp;ROUND('BIABacus PR 1.3U'!EJ64,2)&amp;" G","")</f>
      </c>
    </row>
    <row r="112" ht="13.5">
      <c r="A112" s="22">
        <f>IF(ISNUMBER('BIABacus PR 1.3U'!EA67),"Water Used in a Sparge: "&amp;ROUND('BIABacus PR 1.3U'!EA67,2)&amp;" L = "&amp;ROUND('BIABacus PR 1.3U'!EJ67,2)&amp;" G","")</f>
      </c>
    </row>
    <row r="113" ht="13.5">
      <c r="A113" s="22">
        <f>IF(ISNUMBER('BIABacus PR 1.3U'!EA73),"Water Added After Final Lauter: "&amp;ROUND('BIABacus PR 1.3U'!EA73,2)&amp;" L = "&amp;ROUND('BIABacus PR 1.3U'!EJ73,2)&amp;" G","")</f>
      </c>
    </row>
    <row r="114" ht="13.5">
      <c r="A114" s="22">
        <f>IF(ISNUMBER('BIABacus PR 1.3U'!EA76),"Water Added During Boil: "&amp;ROUND('BIABacus PR 1.3U'!EA76,2)&amp;" L = "&amp;ROUND('BIABacus PR 1.3U'!EJ76,2)&amp;" G","")</f>
      </c>
    </row>
    <row r="115" ht="13.5">
      <c r="A115" s="22">
        <f>IF(ISNUMBER('BIABacus PR 1.3U'!EA79),"Water Added to Fermentor: "&amp;ROUND('BIABacus PR 1.3U'!EA79,2)&amp;" L = "&amp;ROUND('BIABacus PR 1.3U'!EJ79,2)&amp;" G","")</f>
      </c>
    </row>
    <row r="116" ht="13.5">
      <c r="A116" s="33"/>
    </row>
    <row r="117" ht="13.5">
      <c r="A117" s="34" t="s">
        <v>222</v>
      </c>
    </row>
    <row r="118" ht="13.5">
      <c r="A118" s="33"/>
    </row>
  </sheetData>
  <sheetProtection password="CEEF" sheet="1" selectLockedCells="1"/>
  <mergeCells count="3">
    <mergeCell ref="B2:F2"/>
    <mergeCell ref="B14:G14"/>
    <mergeCell ref="B19:G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P171"/>
  <sheetViews>
    <sheetView zoomScalePageLayoutView="0" workbookViewId="0" topLeftCell="A1">
      <selection activeCell="A115" sqref="A115:AJ115"/>
    </sheetView>
  </sheetViews>
  <sheetFormatPr defaultColWidth="9.140625" defaultRowHeight="15"/>
  <cols>
    <col min="1" max="36" width="1.7109375" style="5" customWidth="1"/>
    <col min="37" max="16384" width="9.140625" style="5" customWidth="1"/>
  </cols>
  <sheetData>
    <row r="1" spans="1:36" ht="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row>
    <row r="2" spans="1:42" ht="15" customHeight="1">
      <c r="A2" s="354" t="str">
        <f>"CHECKLIST"&amp;IF('BIABacus PR 1.3U'!K27&gt;0," - "&amp;'BIABacus PR 1.3U'!K27,"")&amp;IF('BIABacus PR 1.3U'!CH7&gt;0," (Batch "&amp;'BIABacus PR 1.3U'!CH7&amp;")","")</f>
        <v>CHECKLIST - Zombie Dust Clone</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5" t="s">
        <v>91</v>
      </c>
      <c r="AI2" s="355"/>
      <c r="AJ2" s="355"/>
      <c r="AK2" s="349" t="s">
        <v>206</v>
      </c>
      <c r="AL2" s="349"/>
      <c r="AM2" s="349"/>
      <c r="AN2" s="349"/>
      <c r="AO2" s="349"/>
      <c r="AP2" s="349"/>
    </row>
    <row r="3" spans="1:42"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2"/>
      <c r="AI3" s="32"/>
      <c r="AJ3" s="32"/>
      <c r="AK3" s="7"/>
      <c r="AL3" s="7"/>
      <c r="AM3" s="7"/>
      <c r="AN3" s="7"/>
      <c r="AO3" s="7"/>
      <c r="AP3" s="7"/>
    </row>
    <row r="4" spans="1:42" ht="15" customHeight="1">
      <c r="A4" s="356" t="s">
        <v>199</v>
      </c>
      <c r="B4" s="356"/>
      <c r="C4" s="356"/>
      <c r="D4" s="356"/>
      <c r="E4" s="356"/>
      <c r="F4" s="356"/>
      <c r="G4" s="357">
        <f>IF('BIABacus PR 1.3U'!CW7&gt;0,'BIABacus PR 1.3U'!CW7,"")</f>
      </c>
      <c r="H4" s="357"/>
      <c r="I4" s="357"/>
      <c r="J4" s="357"/>
      <c r="K4" s="357"/>
      <c r="L4" s="357"/>
      <c r="M4" s="356" t="s">
        <v>200</v>
      </c>
      <c r="N4" s="356"/>
      <c r="O4" s="356"/>
      <c r="P4" s="356"/>
      <c r="Q4" s="356"/>
      <c r="R4" s="356"/>
      <c r="S4" s="357">
        <f>IF('BIABacus PR 1.3U'!CH10&gt;0,'BIABacus PR 1.3U'!CH10,"")</f>
      </c>
      <c r="T4" s="357"/>
      <c r="U4" s="357"/>
      <c r="V4" s="357"/>
      <c r="W4" s="357"/>
      <c r="X4" s="357"/>
      <c r="Y4" s="356" t="s">
        <v>201</v>
      </c>
      <c r="Z4" s="356"/>
      <c r="AA4" s="356"/>
      <c r="AB4" s="356"/>
      <c r="AC4" s="356"/>
      <c r="AD4" s="356"/>
      <c r="AE4" s="357">
        <f>IF('BIABacus PR 1.3U'!CY10&gt;0,'BIABacus PR 1.3U'!CY10,"")</f>
      </c>
      <c r="AF4" s="357"/>
      <c r="AG4" s="357"/>
      <c r="AH4" s="357"/>
      <c r="AI4" s="357"/>
      <c r="AJ4" s="357"/>
      <c r="AK4" s="22" t="s">
        <v>207</v>
      </c>
      <c r="AL4" s="7"/>
      <c r="AM4" s="7"/>
      <c r="AN4" s="7"/>
      <c r="AO4" s="7"/>
      <c r="AP4" s="7"/>
    </row>
    <row r="5" spans="1:42" ht="15" customHeight="1">
      <c r="A5" s="358" t="s">
        <v>127</v>
      </c>
      <c r="B5" s="358"/>
      <c r="C5" s="358"/>
      <c r="D5" s="358"/>
      <c r="E5" s="358"/>
      <c r="F5" s="358"/>
      <c r="G5" s="6"/>
      <c r="H5" s="358" t="s">
        <v>104</v>
      </c>
      <c r="I5" s="358"/>
      <c r="J5" s="358"/>
      <c r="K5" s="358"/>
      <c r="L5" s="358"/>
      <c r="M5" s="358"/>
      <c r="N5" s="358"/>
      <c r="O5" s="358"/>
      <c r="P5" s="358"/>
      <c r="Q5" s="358"/>
      <c r="R5" s="358"/>
      <c r="S5" s="358"/>
      <c r="T5" s="358"/>
      <c r="U5" s="358"/>
      <c r="V5" s="358"/>
      <c r="W5" s="358"/>
      <c r="X5" s="358"/>
      <c r="Y5" s="358"/>
      <c r="Z5" s="358"/>
      <c r="AA5" s="358"/>
      <c r="AB5" s="358"/>
      <c r="AC5" s="358"/>
      <c r="AD5" s="27"/>
      <c r="AE5" s="358" t="s">
        <v>198</v>
      </c>
      <c r="AF5" s="358"/>
      <c r="AG5" s="358"/>
      <c r="AH5" s="358"/>
      <c r="AI5" s="358"/>
      <c r="AJ5" s="358"/>
      <c r="AK5" s="12" t="s">
        <v>196</v>
      </c>
      <c r="AL5" s="7"/>
      <c r="AM5" s="7"/>
      <c r="AN5" s="7"/>
      <c r="AO5" s="7"/>
      <c r="AP5" s="7"/>
    </row>
    <row r="6" spans="1:42" ht="15" customHeight="1">
      <c r="A6" s="358"/>
      <c r="B6" s="358"/>
      <c r="C6" s="358"/>
      <c r="D6" s="358"/>
      <c r="E6" s="358"/>
      <c r="F6" s="358"/>
      <c r="G6" s="6"/>
      <c r="H6" s="358"/>
      <c r="I6" s="358"/>
      <c r="J6" s="358"/>
      <c r="K6" s="358"/>
      <c r="L6" s="358"/>
      <c r="M6" s="358"/>
      <c r="N6" s="358"/>
      <c r="O6" s="358"/>
      <c r="P6" s="358"/>
      <c r="Q6" s="358"/>
      <c r="R6" s="358"/>
      <c r="S6" s="358"/>
      <c r="T6" s="358"/>
      <c r="U6" s="358"/>
      <c r="V6" s="358"/>
      <c r="W6" s="358"/>
      <c r="X6" s="358"/>
      <c r="Y6" s="358"/>
      <c r="Z6" s="358"/>
      <c r="AA6" s="358"/>
      <c r="AB6" s="358"/>
      <c r="AC6" s="358"/>
      <c r="AD6" s="27"/>
      <c r="AE6" s="358"/>
      <c r="AF6" s="358"/>
      <c r="AG6" s="358"/>
      <c r="AH6" s="358"/>
      <c r="AI6" s="358"/>
      <c r="AJ6" s="358"/>
      <c r="AK6" s="12"/>
      <c r="AL6" s="7"/>
      <c r="AM6" s="7"/>
      <c r="AN6" s="7"/>
      <c r="AO6" s="7"/>
      <c r="AP6" s="7"/>
    </row>
    <row r="7" spans="37:42" ht="15" customHeight="1">
      <c r="AK7" s="349" t="s">
        <v>208</v>
      </c>
      <c r="AL7" s="349"/>
      <c r="AM7" s="349"/>
      <c r="AN7" s="349"/>
      <c r="AO7" s="349"/>
      <c r="AP7" s="349"/>
    </row>
    <row r="8" spans="1:42" ht="15" customHeight="1">
      <c r="A8" s="3"/>
      <c r="B8" s="352">
        <f>IF('BIABacus PR 1.3U'!ES27&gt;0,'BIABacus PR 1.3U'!ES27,"")</f>
      </c>
      <c r="C8" s="352"/>
      <c r="D8" s="352"/>
      <c r="E8" s="352"/>
      <c r="F8" s="352"/>
      <c r="H8" s="350">
        <f>IF('BIABacus PR 1.3U'!EY27&gt;0,'BIABacus PR 1.3U'!EY27,"")</f>
      </c>
      <c r="I8" s="351"/>
      <c r="J8" s="351"/>
      <c r="K8" s="351"/>
      <c r="L8" s="351"/>
      <c r="M8" s="351"/>
      <c r="N8" s="351"/>
      <c r="O8" s="351"/>
      <c r="P8" s="351"/>
      <c r="Q8" s="351"/>
      <c r="R8" s="351"/>
      <c r="S8" s="351"/>
      <c r="T8" s="351"/>
      <c r="U8" s="351"/>
      <c r="V8" s="351"/>
      <c r="W8" s="351"/>
      <c r="X8" s="351"/>
      <c r="Y8" s="351"/>
      <c r="Z8" s="351"/>
      <c r="AA8" s="351"/>
      <c r="AB8" s="351"/>
      <c r="AC8" s="351"/>
      <c r="AD8" s="3"/>
      <c r="AE8" s="346">
        <f>IF('BIABacus PR 1.3U'!FV27&gt;0,'BIABacus PR 1.3U'!FV27,"")</f>
      </c>
      <c r="AF8" s="346"/>
      <c r="AG8" s="346"/>
      <c r="AH8" s="346"/>
      <c r="AI8" s="346"/>
      <c r="AK8" s="7"/>
      <c r="AL8" s="7"/>
      <c r="AM8" s="7"/>
      <c r="AN8" s="7"/>
      <c r="AO8" s="7"/>
      <c r="AP8" s="7"/>
    </row>
    <row r="9" spans="1:42" ht="15" customHeight="1">
      <c r="A9" s="28"/>
      <c r="B9" s="28"/>
      <c r="C9" s="28"/>
      <c r="D9" s="28"/>
      <c r="E9" s="28"/>
      <c r="F9" s="28"/>
      <c r="G9" s="28"/>
      <c r="H9" s="3"/>
      <c r="I9" s="3"/>
      <c r="J9" s="3"/>
      <c r="K9" s="3"/>
      <c r="L9" s="3"/>
      <c r="M9" s="3"/>
      <c r="N9" s="3"/>
      <c r="O9" s="3"/>
      <c r="P9" s="3"/>
      <c r="Q9" s="3"/>
      <c r="R9" s="3"/>
      <c r="S9" s="3"/>
      <c r="T9" s="3"/>
      <c r="U9" s="3"/>
      <c r="V9" s="3"/>
      <c r="W9" s="3"/>
      <c r="X9" s="3"/>
      <c r="Y9" s="3"/>
      <c r="Z9" s="3"/>
      <c r="AA9" s="3"/>
      <c r="AB9" s="3"/>
      <c r="AC9" s="3"/>
      <c r="AD9" s="3"/>
      <c r="AE9" s="28"/>
      <c r="AG9" s="28"/>
      <c r="AH9" s="28"/>
      <c r="AI9" s="28"/>
      <c r="AK9" s="22" t="s">
        <v>207</v>
      </c>
      <c r="AL9" s="7"/>
      <c r="AM9" s="7"/>
      <c r="AN9" s="7"/>
      <c r="AO9" s="7"/>
      <c r="AP9" s="7"/>
    </row>
    <row r="10" spans="1:42" ht="15" customHeight="1">
      <c r="A10" s="3"/>
      <c r="B10" s="352">
        <f>IF('BIABacus PR 1.3U'!ES30&gt;0,'BIABacus PR 1.3U'!ES30,"")</f>
      </c>
      <c r="C10" s="352"/>
      <c r="D10" s="352"/>
      <c r="E10" s="352"/>
      <c r="F10" s="352"/>
      <c r="H10" s="350">
        <f>IF('BIABacus PR 1.3U'!EY30&gt;0,'BIABacus PR 1.3U'!EY30,"")</f>
      </c>
      <c r="I10" s="351"/>
      <c r="J10" s="351"/>
      <c r="K10" s="351"/>
      <c r="L10" s="351"/>
      <c r="M10" s="351"/>
      <c r="N10" s="351"/>
      <c r="O10" s="351"/>
      <c r="P10" s="351"/>
      <c r="Q10" s="351"/>
      <c r="R10" s="351"/>
      <c r="S10" s="351"/>
      <c r="T10" s="351"/>
      <c r="U10" s="351"/>
      <c r="V10" s="351"/>
      <c r="W10" s="351"/>
      <c r="X10" s="351"/>
      <c r="Y10" s="351"/>
      <c r="Z10" s="351"/>
      <c r="AA10" s="351"/>
      <c r="AB10" s="351"/>
      <c r="AC10" s="351"/>
      <c r="AD10" s="3"/>
      <c r="AE10" s="346">
        <f>IF('BIABacus PR 1.3U'!FV30&gt;0,'BIABacus PR 1.3U'!FV30,"")</f>
      </c>
      <c r="AF10" s="346"/>
      <c r="AG10" s="346"/>
      <c r="AH10" s="346"/>
      <c r="AI10" s="346"/>
      <c r="AK10" s="12" t="s">
        <v>316</v>
      </c>
      <c r="AL10" s="7"/>
      <c r="AM10" s="7"/>
      <c r="AN10" s="7"/>
      <c r="AO10" s="7"/>
      <c r="AP10" s="7"/>
    </row>
    <row r="11" spans="1:42" ht="15" customHeight="1">
      <c r="A11" s="28"/>
      <c r="B11" s="28"/>
      <c r="C11" s="28"/>
      <c r="D11" s="28"/>
      <c r="E11" s="28"/>
      <c r="F11" s="28"/>
      <c r="G11" s="28"/>
      <c r="H11" s="3"/>
      <c r="I11" s="3"/>
      <c r="J11" s="3"/>
      <c r="K11" s="3"/>
      <c r="L11" s="3"/>
      <c r="M11" s="3"/>
      <c r="N11" s="3"/>
      <c r="O11" s="3"/>
      <c r="P11" s="3"/>
      <c r="Q11" s="3"/>
      <c r="R11" s="3"/>
      <c r="S11" s="3"/>
      <c r="T11" s="3"/>
      <c r="U11" s="3"/>
      <c r="V11" s="3"/>
      <c r="W11" s="3"/>
      <c r="X11" s="3"/>
      <c r="Y11" s="3"/>
      <c r="Z11" s="3"/>
      <c r="AA11" s="3"/>
      <c r="AB11" s="3"/>
      <c r="AC11" s="3"/>
      <c r="AD11" s="3"/>
      <c r="AE11" s="28"/>
      <c r="AG11" s="28"/>
      <c r="AH11" s="28"/>
      <c r="AI11" s="28"/>
      <c r="AK11" s="5" t="s">
        <v>223</v>
      </c>
      <c r="AL11" s="7"/>
      <c r="AM11" s="7"/>
      <c r="AN11" s="7"/>
      <c r="AO11" s="7"/>
      <c r="AP11" s="7"/>
    </row>
    <row r="12" spans="1:42" ht="15" customHeight="1">
      <c r="A12" s="3"/>
      <c r="B12" s="352">
        <f>IF('BIABacus PR 1.3U'!ES33&gt;0,'BIABacus PR 1.3U'!ES33,"")</f>
      </c>
      <c r="C12" s="352"/>
      <c r="D12" s="352"/>
      <c r="E12" s="352"/>
      <c r="F12" s="352"/>
      <c r="H12" s="350">
        <f>IF('BIABacus PR 1.3U'!EY33&gt;0,'BIABacus PR 1.3U'!EY33,"")</f>
      </c>
      <c r="I12" s="350"/>
      <c r="J12" s="350"/>
      <c r="K12" s="350"/>
      <c r="L12" s="350"/>
      <c r="M12" s="350"/>
      <c r="N12" s="350"/>
      <c r="O12" s="350"/>
      <c r="P12" s="350"/>
      <c r="Q12" s="350"/>
      <c r="R12" s="350"/>
      <c r="S12" s="350"/>
      <c r="T12" s="350"/>
      <c r="U12" s="350"/>
      <c r="V12" s="350"/>
      <c r="W12" s="350"/>
      <c r="X12" s="350"/>
      <c r="Y12" s="350"/>
      <c r="Z12" s="350"/>
      <c r="AA12" s="350"/>
      <c r="AB12" s="350"/>
      <c r="AC12" s="350"/>
      <c r="AD12" s="3"/>
      <c r="AE12" s="346">
        <f>IF('BIABacus PR 1.3U'!FV33&gt;0,'BIABacus PR 1.3U'!FV33,"")</f>
      </c>
      <c r="AF12" s="346"/>
      <c r="AG12" s="346"/>
      <c r="AH12" s="346"/>
      <c r="AI12" s="346"/>
      <c r="AK12" s="12" t="s">
        <v>224</v>
      </c>
      <c r="AL12" s="7"/>
      <c r="AM12" s="7"/>
      <c r="AN12" s="7"/>
      <c r="AO12" s="7"/>
      <c r="AP12" s="7"/>
    </row>
    <row r="13" spans="1:42" ht="15" customHeight="1">
      <c r="A13" s="28"/>
      <c r="B13" s="28"/>
      <c r="C13" s="28"/>
      <c r="D13" s="28"/>
      <c r="E13" s="28"/>
      <c r="F13" s="28"/>
      <c r="G13" s="28"/>
      <c r="H13" s="3"/>
      <c r="I13" s="3"/>
      <c r="J13" s="3"/>
      <c r="K13" s="3"/>
      <c r="L13" s="3"/>
      <c r="M13" s="3"/>
      <c r="N13" s="3"/>
      <c r="O13" s="3"/>
      <c r="P13" s="3"/>
      <c r="Q13" s="3"/>
      <c r="R13" s="3"/>
      <c r="S13" s="3"/>
      <c r="T13" s="3"/>
      <c r="U13" s="3"/>
      <c r="V13" s="3"/>
      <c r="W13" s="3"/>
      <c r="X13" s="3"/>
      <c r="Y13" s="3"/>
      <c r="Z13" s="3"/>
      <c r="AA13" s="3"/>
      <c r="AB13" s="3"/>
      <c r="AC13" s="3"/>
      <c r="AD13" s="3"/>
      <c r="AE13" s="28"/>
      <c r="AG13" s="28"/>
      <c r="AH13" s="28"/>
      <c r="AI13" s="28"/>
      <c r="AK13" s="7" t="s">
        <v>225</v>
      </c>
      <c r="AL13" s="7"/>
      <c r="AM13" s="7"/>
      <c r="AN13" s="7"/>
      <c r="AO13" s="7"/>
      <c r="AP13" s="7"/>
    </row>
    <row r="14" spans="1:42" ht="15" customHeight="1">
      <c r="A14" s="3"/>
      <c r="B14" s="352">
        <f>IF('BIABacus PR 1.3U'!ES36&gt;0,'BIABacus PR 1.3U'!ES36,"")</f>
      </c>
      <c r="C14" s="352"/>
      <c r="D14" s="352"/>
      <c r="E14" s="352"/>
      <c r="F14" s="352"/>
      <c r="H14" s="350">
        <f>IF('BIABacus PR 1.3U'!EY36&gt;0,'BIABacus PR 1.3U'!EY36,"")</f>
      </c>
      <c r="I14" s="350"/>
      <c r="J14" s="350"/>
      <c r="K14" s="350"/>
      <c r="L14" s="350"/>
      <c r="M14" s="350"/>
      <c r="N14" s="350"/>
      <c r="O14" s="350"/>
      <c r="P14" s="350"/>
      <c r="Q14" s="350"/>
      <c r="R14" s="350"/>
      <c r="S14" s="350"/>
      <c r="T14" s="350"/>
      <c r="U14" s="350"/>
      <c r="V14" s="350"/>
      <c r="W14" s="350"/>
      <c r="X14" s="350"/>
      <c r="Y14" s="350"/>
      <c r="Z14" s="350"/>
      <c r="AA14" s="350"/>
      <c r="AB14" s="350"/>
      <c r="AC14" s="350"/>
      <c r="AD14" s="3"/>
      <c r="AE14" s="346">
        <f>IF('BIABacus PR 1.3U'!FV36&gt;0,'BIABacus PR 1.3U'!FV36,"")</f>
      </c>
      <c r="AF14" s="346"/>
      <c r="AG14" s="346"/>
      <c r="AH14" s="346"/>
      <c r="AI14" s="346"/>
      <c r="AK14" s="22" t="s">
        <v>202</v>
      </c>
      <c r="AL14" s="7"/>
      <c r="AM14" s="7"/>
      <c r="AN14" s="7"/>
      <c r="AO14" s="7"/>
      <c r="AP14" s="7"/>
    </row>
    <row r="15" spans="1:37" ht="15" customHeight="1">
      <c r="A15" s="28"/>
      <c r="B15" s="28"/>
      <c r="C15" s="28"/>
      <c r="D15" s="28"/>
      <c r="E15" s="28"/>
      <c r="F15" s="28"/>
      <c r="G15" s="28"/>
      <c r="H15" s="3"/>
      <c r="I15" s="3"/>
      <c r="J15" s="3"/>
      <c r="K15" s="3"/>
      <c r="L15" s="3"/>
      <c r="M15" s="3"/>
      <c r="N15" s="3"/>
      <c r="O15" s="3"/>
      <c r="P15" s="3"/>
      <c r="Q15" s="3"/>
      <c r="R15" s="3"/>
      <c r="S15" s="3"/>
      <c r="T15" s="3"/>
      <c r="U15" s="3"/>
      <c r="V15" s="3"/>
      <c r="W15" s="3"/>
      <c r="X15" s="3"/>
      <c r="Y15" s="3"/>
      <c r="Z15" s="3"/>
      <c r="AA15" s="3"/>
      <c r="AB15" s="3"/>
      <c r="AC15" s="3"/>
      <c r="AD15" s="3"/>
      <c r="AE15" s="28"/>
      <c r="AG15" s="28"/>
      <c r="AH15" s="28"/>
      <c r="AI15" s="28"/>
      <c r="AK15" s="7" t="s">
        <v>203</v>
      </c>
    </row>
    <row r="16" spans="1:37" ht="15" customHeight="1">
      <c r="A16" s="3"/>
      <c r="B16" s="352">
        <f>IF('BIABacus PR 1.3U'!ES39&gt;0,'BIABacus PR 1.3U'!ES39,"")</f>
      </c>
      <c r="C16" s="352"/>
      <c r="D16" s="352"/>
      <c r="E16" s="352"/>
      <c r="F16" s="352"/>
      <c r="H16" s="350">
        <f>IF('BIABacus PR 1.3U'!EY39&gt;0,'BIABacus PR 1.3U'!EY39,"")</f>
      </c>
      <c r="I16" s="351"/>
      <c r="J16" s="351"/>
      <c r="K16" s="351"/>
      <c r="L16" s="351"/>
      <c r="M16" s="351"/>
      <c r="N16" s="351"/>
      <c r="O16" s="351"/>
      <c r="P16" s="351"/>
      <c r="Q16" s="351"/>
      <c r="R16" s="351"/>
      <c r="S16" s="351"/>
      <c r="T16" s="351"/>
      <c r="U16" s="351"/>
      <c r="V16" s="351"/>
      <c r="W16" s="351"/>
      <c r="X16" s="351"/>
      <c r="Y16" s="351"/>
      <c r="Z16" s="351"/>
      <c r="AA16" s="351"/>
      <c r="AB16" s="351"/>
      <c r="AC16" s="351"/>
      <c r="AD16" s="3"/>
      <c r="AE16" s="346">
        <f>IF('BIABacus PR 1.3U'!FV39&gt;0,'BIABacus PR 1.3U'!FV39,"")</f>
      </c>
      <c r="AF16" s="346"/>
      <c r="AG16" s="346"/>
      <c r="AH16" s="346"/>
      <c r="AI16" s="346"/>
      <c r="AK16" s="22" t="s">
        <v>226</v>
      </c>
    </row>
    <row r="17" spans="1:37" ht="15" customHeight="1">
      <c r="A17" s="28"/>
      <c r="B17" s="28"/>
      <c r="C17" s="28"/>
      <c r="D17" s="28"/>
      <c r="E17" s="28"/>
      <c r="F17" s="28"/>
      <c r="G17" s="28"/>
      <c r="H17" s="3"/>
      <c r="I17" s="3"/>
      <c r="J17" s="3"/>
      <c r="K17" s="3"/>
      <c r="L17" s="3"/>
      <c r="M17" s="3"/>
      <c r="N17" s="3"/>
      <c r="O17" s="3"/>
      <c r="P17" s="3"/>
      <c r="Q17" s="3"/>
      <c r="R17" s="3"/>
      <c r="S17" s="3"/>
      <c r="T17" s="3"/>
      <c r="U17" s="3"/>
      <c r="V17" s="3"/>
      <c r="W17" s="3"/>
      <c r="X17" s="3"/>
      <c r="Y17" s="3"/>
      <c r="Z17" s="3"/>
      <c r="AA17" s="3"/>
      <c r="AB17" s="3"/>
      <c r="AC17" s="3"/>
      <c r="AD17" s="3"/>
      <c r="AE17" s="28"/>
      <c r="AG17" s="28"/>
      <c r="AH17" s="28"/>
      <c r="AI17" s="28"/>
      <c r="AK17" s="7" t="s">
        <v>227</v>
      </c>
    </row>
    <row r="18" spans="1:35" ht="15" customHeight="1">
      <c r="A18" s="3"/>
      <c r="B18" s="352">
        <f>IF('BIABacus PR 1.3U'!ES42&gt;0,'BIABacus PR 1.3U'!ES42,"")</f>
      </c>
      <c r="C18" s="352"/>
      <c r="D18" s="352"/>
      <c r="E18" s="352"/>
      <c r="F18" s="352"/>
      <c r="H18" s="350">
        <f>IF('BIABacus PR 1.3U'!EY42&gt;0,'BIABacus PR 1.3U'!EY42,"")</f>
      </c>
      <c r="I18" s="351"/>
      <c r="J18" s="351"/>
      <c r="K18" s="351"/>
      <c r="L18" s="351"/>
      <c r="M18" s="351"/>
      <c r="N18" s="351"/>
      <c r="O18" s="351"/>
      <c r="P18" s="351"/>
      <c r="Q18" s="351"/>
      <c r="R18" s="351"/>
      <c r="S18" s="351"/>
      <c r="T18" s="351"/>
      <c r="U18" s="351"/>
      <c r="V18" s="351"/>
      <c r="W18" s="351"/>
      <c r="X18" s="351"/>
      <c r="Y18" s="351"/>
      <c r="Z18" s="351"/>
      <c r="AA18" s="351"/>
      <c r="AB18" s="351"/>
      <c r="AC18" s="351"/>
      <c r="AD18" s="3"/>
      <c r="AE18" s="346">
        <f>IF('BIABacus PR 1.3U'!FV42&gt;0,'BIABacus PR 1.3U'!FV42,"")</f>
      </c>
      <c r="AF18" s="346"/>
      <c r="AG18" s="346"/>
      <c r="AH18" s="346"/>
      <c r="AI18" s="346"/>
    </row>
    <row r="19" spans="1:35" ht="15" customHeight="1">
      <c r="A19" s="3"/>
      <c r="B19" s="115"/>
      <c r="C19" s="115"/>
      <c r="D19" s="115"/>
      <c r="E19" s="115"/>
      <c r="F19" s="115"/>
      <c r="H19" s="108"/>
      <c r="I19" s="109"/>
      <c r="J19" s="109"/>
      <c r="K19" s="109"/>
      <c r="L19" s="109"/>
      <c r="M19" s="109"/>
      <c r="N19" s="109"/>
      <c r="O19" s="109"/>
      <c r="P19" s="109"/>
      <c r="Q19" s="109"/>
      <c r="R19" s="109"/>
      <c r="S19" s="109"/>
      <c r="T19" s="109"/>
      <c r="U19" s="109"/>
      <c r="V19" s="109"/>
      <c r="W19" s="109"/>
      <c r="X19" s="109"/>
      <c r="Y19" s="109"/>
      <c r="Z19" s="109"/>
      <c r="AA19" s="109"/>
      <c r="AB19" s="109"/>
      <c r="AC19" s="109"/>
      <c r="AD19" s="3"/>
      <c r="AE19" s="107"/>
      <c r="AF19" s="107"/>
      <c r="AG19" s="107"/>
      <c r="AH19" s="107"/>
      <c r="AI19" s="107"/>
    </row>
    <row r="20" spans="1:35" ht="15" customHeight="1">
      <c r="A20" s="3"/>
      <c r="B20" s="352">
        <f>IF('BIABacus PR 1.3U'!ES45&gt;0,'BIABacus PR 1.3U'!ES45,"")</f>
      </c>
      <c r="C20" s="352"/>
      <c r="D20" s="352"/>
      <c r="E20" s="352"/>
      <c r="F20" s="352"/>
      <c r="H20" s="350">
        <f>IF('BIABacus PR 1.3U'!EY45&gt;0,'BIABacus PR 1.3U'!EY45,"")</f>
      </c>
      <c r="I20" s="351"/>
      <c r="J20" s="351"/>
      <c r="K20" s="351"/>
      <c r="L20" s="351"/>
      <c r="M20" s="351"/>
      <c r="N20" s="351"/>
      <c r="O20" s="351"/>
      <c r="P20" s="351"/>
      <c r="Q20" s="351"/>
      <c r="R20" s="351"/>
      <c r="S20" s="351"/>
      <c r="T20" s="351"/>
      <c r="U20" s="351"/>
      <c r="V20" s="351"/>
      <c r="W20" s="351"/>
      <c r="X20" s="351"/>
      <c r="Y20" s="351"/>
      <c r="Z20" s="351"/>
      <c r="AA20" s="351"/>
      <c r="AB20" s="351"/>
      <c r="AC20" s="351"/>
      <c r="AD20" s="3"/>
      <c r="AE20" s="346">
        <f>IF('BIABacus PR 1.3U'!FV45&gt;0,'BIABacus PR 1.3U'!FV45,"")</f>
      </c>
      <c r="AF20" s="346"/>
      <c r="AG20" s="346"/>
      <c r="AH20" s="346"/>
      <c r="AI20" s="346"/>
    </row>
    <row r="21" spans="1:35" ht="15" customHeight="1">
      <c r="A21" s="3"/>
      <c r="B21" s="115"/>
      <c r="C21" s="115"/>
      <c r="D21" s="115"/>
      <c r="E21" s="115"/>
      <c r="F21" s="115"/>
      <c r="H21" s="108"/>
      <c r="I21" s="109"/>
      <c r="J21" s="109"/>
      <c r="K21" s="109"/>
      <c r="L21" s="109"/>
      <c r="M21" s="109"/>
      <c r="N21" s="109"/>
      <c r="O21" s="109"/>
      <c r="P21" s="109"/>
      <c r="Q21" s="109"/>
      <c r="R21" s="109"/>
      <c r="S21" s="109"/>
      <c r="T21" s="109"/>
      <c r="U21" s="109"/>
      <c r="V21" s="109"/>
      <c r="W21" s="109"/>
      <c r="X21" s="109"/>
      <c r="Y21" s="109"/>
      <c r="Z21" s="109"/>
      <c r="AA21" s="109"/>
      <c r="AB21" s="109"/>
      <c r="AC21" s="109"/>
      <c r="AD21" s="3"/>
      <c r="AE21" s="107"/>
      <c r="AF21" s="107"/>
      <c r="AG21" s="107"/>
      <c r="AH21" s="107"/>
      <c r="AI21" s="107"/>
    </row>
    <row r="22" spans="1:35" ht="15" customHeight="1">
      <c r="A22" s="3"/>
      <c r="B22" s="352">
        <f>IF('BIABacus PR 1.3U'!ES48&gt;0,'BIABacus PR 1.3U'!ES48,"")</f>
      </c>
      <c r="C22" s="352"/>
      <c r="D22" s="352"/>
      <c r="E22" s="352"/>
      <c r="F22" s="352"/>
      <c r="H22" s="350">
        <f>IF('BIABacus PR 1.3U'!EY48&gt;0,'BIABacus PR 1.3U'!EY48,"")</f>
      </c>
      <c r="I22" s="351"/>
      <c r="J22" s="351"/>
      <c r="K22" s="351"/>
      <c r="L22" s="351"/>
      <c r="M22" s="351"/>
      <c r="N22" s="351"/>
      <c r="O22" s="351"/>
      <c r="P22" s="351"/>
      <c r="Q22" s="351"/>
      <c r="R22" s="351"/>
      <c r="S22" s="351"/>
      <c r="T22" s="351"/>
      <c r="U22" s="351"/>
      <c r="V22" s="351"/>
      <c r="W22" s="351"/>
      <c r="X22" s="351"/>
      <c r="Y22" s="351"/>
      <c r="Z22" s="351"/>
      <c r="AA22" s="351"/>
      <c r="AB22" s="351"/>
      <c r="AC22" s="351"/>
      <c r="AD22" s="3"/>
      <c r="AE22" s="346">
        <f>IF('BIABacus PR 1.3U'!FV48&gt;0,'BIABacus PR 1.3U'!FV48,"")</f>
      </c>
      <c r="AF22" s="346"/>
      <c r="AG22" s="346"/>
      <c r="AH22" s="346"/>
      <c r="AI22" s="346"/>
    </row>
    <row r="23" spans="1:35" ht="15" customHeight="1">
      <c r="A23" s="3"/>
      <c r="B23" s="115"/>
      <c r="C23" s="115"/>
      <c r="D23" s="115"/>
      <c r="E23" s="115"/>
      <c r="F23" s="115"/>
      <c r="H23" s="108"/>
      <c r="I23" s="109"/>
      <c r="J23" s="109"/>
      <c r="K23" s="109"/>
      <c r="L23" s="109"/>
      <c r="M23" s="109"/>
      <c r="N23" s="109"/>
      <c r="O23" s="109"/>
      <c r="P23" s="109"/>
      <c r="Q23" s="109"/>
      <c r="R23" s="109"/>
      <c r="S23" s="109"/>
      <c r="T23" s="109"/>
      <c r="U23" s="109"/>
      <c r="V23" s="109"/>
      <c r="W23" s="109"/>
      <c r="X23" s="109"/>
      <c r="Y23" s="109"/>
      <c r="Z23" s="109"/>
      <c r="AA23" s="109"/>
      <c r="AB23" s="109"/>
      <c r="AC23" s="109"/>
      <c r="AD23" s="3"/>
      <c r="AE23" s="107"/>
      <c r="AF23" s="107"/>
      <c r="AG23" s="107"/>
      <c r="AH23" s="107"/>
      <c r="AI23" s="107"/>
    </row>
    <row r="24" spans="1:35" ht="15" customHeight="1">
      <c r="A24" s="3"/>
      <c r="B24" s="352">
        <f>IF('BIABacus PR 1.3U'!ES51&gt;0,'BIABacus PR 1.3U'!ES51,"")</f>
      </c>
      <c r="C24" s="352"/>
      <c r="D24" s="352"/>
      <c r="E24" s="352"/>
      <c r="F24" s="352"/>
      <c r="H24" s="350">
        <f>IF('BIABacus PR 1.3U'!EY51&gt;0,'BIABacus PR 1.3U'!EY51,"")</f>
      </c>
      <c r="I24" s="351"/>
      <c r="J24" s="351"/>
      <c r="K24" s="351"/>
      <c r="L24" s="351"/>
      <c r="M24" s="351"/>
      <c r="N24" s="351"/>
      <c r="O24" s="351"/>
      <c r="P24" s="351"/>
      <c r="Q24" s="351"/>
      <c r="R24" s="351"/>
      <c r="S24" s="351"/>
      <c r="T24" s="351"/>
      <c r="U24" s="351"/>
      <c r="V24" s="351"/>
      <c r="W24" s="351"/>
      <c r="X24" s="351"/>
      <c r="Y24" s="351"/>
      <c r="Z24" s="351"/>
      <c r="AA24" s="351"/>
      <c r="AB24" s="351"/>
      <c r="AC24" s="351"/>
      <c r="AD24" s="3"/>
      <c r="AE24" s="346">
        <f>IF('BIABacus PR 1.3U'!FV51&gt;0,'BIABacus PR 1.3U'!FV51,"")</f>
      </c>
      <c r="AF24" s="346"/>
      <c r="AG24" s="346"/>
      <c r="AH24" s="346"/>
      <c r="AI24" s="346"/>
    </row>
    <row r="25" spans="1:35" ht="15" customHeight="1">
      <c r="A25" s="28"/>
      <c r="B25" s="28"/>
      <c r="C25" s="28"/>
      <c r="D25" s="28"/>
      <c r="E25" s="28"/>
      <c r="F25" s="28"/>
      <c r="G25" s="28"/>
      <c r="H25" s="3"/>
      <c r="I25" s="3"/>
      <c r="J25" s="3"/>
      <c r="K25" s="3"/>
      <c r="L25" s="3"/>
      <c r="M25" s="3"/>
      <c r="N25" s="3"/>
      <c r="O25" s="3"/>
      <c r="P25" s="3"/>
      <c r="Q25" s="3"/>
      <c r="R25" s="3"/>
      <c r="S25" s="3"/>
      <c r="T25" s="3"/>
      <c r="U25" s="3"/>
      <c r="V25" s="3"/>
      <c r="W25" s="3"/>
      <c r="X25" s="3"/>
      <c r="Y25" s="3"/>
      <c r="Z25" s="3"/>
      <c r="AA25" s="3"/>
      <c r="AB25" s="3"/>
      <c r="AC25" s="3"/>
      <c r="AD25" s="3"/>
      <c r="AE25" s="28"/>
      <c r="AG25" s="28"/>
      <c r="AH25" s="28"/>
      <c r="AI25" s="28"/>
    </row>
    <row r="26" spans="1:35" ht="15" customHeight="1">
      <c r="A26" s="3"/>
      <c r="B26" s="352">
        <f>IF('BIABacus PR 1.3U'!ES54&gt;0,'BIABacus PR 1.3U'!ES54,"")</f>
      </c>
      <c r="C26" s="352"/>
      <c r="D26" s="352"/>
      <c r="E26" s="352"/>
      <c r="F26" s="352"/>
      <c r="H26" s="350">
        <f>IF('BIABacus PR 1.3U'!EY54&gt;0,'BIABacus PR 1.3U'!EY54,"")</f>
      </c>
      <c r="I26" s="351"/>
      <c r="J26" s="351"/>
      <c r="K26" s="351"/>
      <c r="L26" s="351"/>
      <c r="M26" s="351"/>
      <c r="N26" s="351"/>
      <c r="O26" s="351"/>
      <c r="P26" s="351"/>
      <c r="Q26" s="351"/>
      <c r="R26" s="351"/>
      <c r="S26" s="351"/>
      <c r="T26" s="351"/>
      <c r="U26" s="351"/>
      <c r="V26" s="351"/>
      <c r="W26" s="351"/>
      <c r="X26" s="351"/>
      <c r="Y26" s="351"/>
      <c r="Z26" s="351"/>
      <c r="AA26" s="351"/>
      <c r="AB26" s="351"/>
      <c r="AC26" s="351"/>
      <c r="AD26" s="3"/>
      <c r="AE26" s="346">
        <f>IF('BIABacus PR 1.3U'!FV54&gt;0,'BIABacus PR 1.3U'!FV54,"")</f>
      </c>
      <c r="AF26" s="346"/>
      <c r="AG26" s="346"/>
      <c r="AH26" s="346"/>
      <c r="AI26" s="346"/>
    </row>
    <row r="27" spans="1:35" ht="15" customHeight="1">
      <c r="A27" s="28"/>
      <c r="B27" s="28"/>
      <c r="C27" s="28"/>
      <c r="D27" s="28"/>
      <c r="E27" s="28"/>
      <c r="F27" s="28"/>
      <c r="G27" s="28"/>
      <c r="H27" s="3"/>
      <c r="I27" s="3"/>
      <c r="J27" s="3"/>
      <c r="K27" s="3"/>
      <c r="L27" s="3"/>
      <c r="M27" s="3"/>
      <c r="N27" s="3"/>
      <c r="O27" s="3"/>
      <c r="P27" s="3"/>
      <c r="Q27" s="3"/>
      <c r="R27" s="3"/>
      <c r="S27" s="3"/>
      <c r="T27" s="3"/>
      <c r="U27" s="3"/>
      <c r="V27" s="3"/>
      <c r="W27" s="3"/>
      <c r="X27" s="3"/>
      <c r="Y27" s="3"/>
      <c r="Z27" s="3"/>
      <c r="AA27" s="3"/>
      <c r="AB27" s="3"/>
      <c r="AC27" s="3"/>
      <c r="AD27" s="3"/>
      <c r="AE27" s="28"/>
      <c r="AG27" s="28"/>
      <c r="AH27" s="28"/>
      <c r="AI27" s="28"/>
    </row>
    <row r="28" spans="1:35" ht="15" customHeight="1">
      <c r="A28" s="3"/>
      <c r="B28" s="352">
        <f>IF('BIABacus PR 1.3U'!ES57&gt;0,'BIABacus PR 1.3U'!ES57,"")</f>
      </c>
      <c r="C28" s="352"/>
      <c r="D28" s="352"/>
      <c r="E28" s="352"/>
      <c r="F28" s="352"/>
      <c r="H28" s="350">
        <f>IF('BIABacus PR 1.3U'!EY57&gt;0,'BIABacus PR 1.3U'!EY57,"")</f>
      </c>
      <c r="I28" s="351"/>
      <c r="J28" s="351"/>
      <c r="K28" s="351"/>
      <c r="L28" s="351"/>
      <c r="M28" s="351"/>
      <c r="N28" s="351"/>
      <c r="O28" s="351"/>
      <c r="P28" s="351"/>
      <c r="Q28" s="351"/>
      <c r="R28" s="351"/>
      <c r="S28" s="351"/>
      <c r="T28" s="351"/>
      <c r="U28" s="351"/>
      <c r="V28" s="351"/>
      <c r="W28" s="351"/>
      <c r="X28" s="351"/>
      <c r="Y28" s="351"/>
      <c r="Z28" s="351"/>
      <c r="AA28" s="351"/>
      <c r="AB28" s="351"/>
      <c r="AC28" s="351"/>
      <c r="AD28" s="3"/>
      <c r="AE28" s="346">
        <f>IF('BIABacus PR 1.3U'!FV57&gt;0,'BIABacus PR 1.3U'!FV57,"")</f>
      </c>
      <c r="AF28" s="346"/>
      <c r="AG28" s="346"/>
      <c r="AH28" s="346"/>
      <c r="AI28" s="346"/>
    </row>
    <row r="29" spans="1:35" ht="15" customHeight="1">
      <c r="A29" s="28"/>
      <c r="B29" s="28"/>
      <c r="C29" s="28"/>
      <c r="D29" s="28"/>
      <c r="E29" s="28"/>
      <c r="F29" s="28"/>
      <c r="G29" s="28"/>
      <c r="H29" s="3"/>
      <c r="I29" s="3"/>
      <c r="J29" s="3"/>
      <c r="K29" s="3"/>
      <c r="L29" s="3"/>
      <c r="M29" s="3"/>
      <c r="N29" s="3"/>
      <c r="O29" s="3"/>
      <c r="P29" s="3"/>
      <c r="Q29" s="3"/>
      <c r="R29" s="3"/>
      <c r="S29" s="3"/>
      <c r="T29" s="3"/>
      <c r="U29" s="3"/>
      <c r="V29" s="3"/>
      <c r="W29" s="3"/>
      <c r="X29" s="3"/>
      <c r="Y29" s="3"/>
      <c r="Z29" s="3"/>
      <c r="AA29" s="3"/>
      <c r="AB29" s="3"/>
      <c r="AC29" s="3"/>
      <c r="AD29" s="3"/>
      <c r="AE29" s="28"/>
      <c r="AG29" s="28"/>
      <c r="AH29" s="28"/>
      <c r="AI29" s="28"/>
    </row>
    <row r="30" spans="1:35" ht="15" customHeight="1">
      <c r="A30" s="3"/>
      <c r="B30" s="352">
        <f>IF('BIABacus PR 1.3U'!ES60&gt;0,'BIABacus PR 1.3U'!ES60,"")</f>
      </c>
      <c r="C30" s="352"/>
      <c r="D30" s="352"/>
      <c r="E30" s="352"/>
      <c r="F30" s="352"/>
      <c r="H30" s="350">
        <f>IF('BIABacus PR 1.3U'!EY69&gt;0,'BIABacus PR 1.3U'!EY69,"")</f>
      </c>
      <c r="I30" s="351"/>
      <c r="J30" s="351"/>
      <c r="K30" s="351"/>
      <c r="L30" s="351"/>
      <c r="M30" s="351"/>
      <c r="N30" s="351"/>
      <c r="O30" s="351"/>
      <c r="P30" s="351"/>
      <c r="Q30" s="351"/>
      <c r="R30" s="351"/>
      <c r="S30" s="351"/>
      <c r="T30" s="351"/>
      <c r="U30" s="351"/>
      <c r="V30" s="351"/>
      <c r="W30" s="351"/>
      <c r="X30" s="351"/>
      <c r="Y30" s="351"/>
      <c r="Z30" s="351"/>
      <c r="AA30" s="351"/>
      <c r="AB30" s="351"/>
      <c r="AC30" s="351"/>
      <c r="AD30" s="3"/>
      <c r="AE30" s="346">
        <f>IF('BIABacus PR 1.3U'!FV60&gt;0,'BIABacus PR 1.3U'!FV60,"")</f>
      </c>
      <c r="AF30" s="346"/>
      <c r="AG30" s="346"/>
      <c r="AH30" s="346"/>
      <c r="AI30" s="346"/>
    </row>
    <row r="31" spans="1:35" ht="15" customHeight="1">
      <c r="A31" s="28"/>
      <c r="B31" s="28"/>
      <c r="C31" s="28"/>
      <c r="D31" s="28"/>
      <c r="E31" s="28"/>
      <c r="F31" s="28"/>
      <c r="G31" s="28"/>
      <c r="H31" s="3"/>
      <c r="I31" s="3"/>
      <c r="J31" s="3"/>
      <c r="K31" s="3"/>
      <c r="L31" s="3"/>
      <c r="M31" s="3"/>
      <c r="N31" s="3"/>
      <c r="O31" s="3"/>
      <c r="P31" s="3"/>
      <c r="Q31" s="3"/>
      <c r="R31" s="3"/>
      <c r="S31" s="3"/>
      <c r="T31" s="3"/>
      <c r="U31" s="3"/>
      <c r="V31" s="3"/>
      <c r="W31" s="3"/>
      <c r="X31" s="3"/>
      <c r="Y31" s="3"/>
      <c r="Z31" s="3"/>
      <c r="AA31" s="3"/>
      <c r="AB31" s="3"/>
      <c r="AC31" s="3"/>
      <c r="AD31" s="3"/>
      <c r="AE31" s="28"/>
      <c r="AG31" s="28"/>
      <c r="AH31" s="28"/>
      <c r="AI31" s="28"/>
    </row>
    <row r="32" spans="1:35" ht="15" customHeight="1">
      <c r="A32" s="3"/>
      <c r="B32" s="352">
        <f>IF('BIABacus PR 1.3U'!ES63&gt;0,'BIABacus PR 1.3U'!ES63,"")</f>
      </c>
      <c r="C32" s="352"/>
      <c r="D32" s="352"/>
      <c r="E32" s="352"/>
      <c r="F32" s="352"/>
      <c r="H32" s="350">
        <f>IF('BIABacus PR 1.3U'!EY63&gt;0,'BIABacus PR 1.3U'!EY63,"")</f>
      </c>
      <c r="I32" s="351"/>
      <c r="J32" s="351"/>
      <c r="K32" s="351"/>
      <c r="L32" s="351"/>
      <c r="M32" s="351"/>
      <c r="N32" s="351"/>
      <c r="O32" s="351"/>
      <c r="P32" s="351"/>
      <c r="Q32" s="351"/>
      <c r="R32" s="351"/>
      <c r="S32" s="351"/>
      <c r="T32" s="351"/>
      <c r="U32" s="351"/>
      <c r="V32" s="351"/>
      <c r="W32" s="351"/>
      <c r="X32" s="351"/>
      <c r="Y32" s="351"/>
      <c r="Z32" s="351"/>
      <c r="AA32" s="351"/>
      <c r="AB32" s="351"/>
      <c r="AC32" s="351"/>
      <c r="AD32" s="3"/>
      <c r="AE32" s="346">
        <f>IF('BIABacus PR 1.3U'!FV63&gt;0,'BIABacus PR 1.3U'!FV63,"")</f>
      </c>
      <c r="AF32" s="346"/>
      <c r="AG32" s="346"/>
      <c r="AH32" s="346"/>
      <c r="AI32" s="346"/>
    </row>
    <row r="33" spans="1:35" ht="15" customHeight="1">
      <c r="A33" s="28"/>
      <c r="B33" s="28"/>
      <c r="C33" s="28"/>
      <c r="D33" s="28"/>
      <c r="E33" s="28"/>
      <c r="F33" s="28"/>
      <c r="G33" s="28"/>
      <c r="H33" s="3"/>
      <c r="I33" s="3"/>
      <c r="J33" s="3"/>
      <c r="K33" s="3"/>
      <c r="L33" s="3"/>
      <c r="M33" s="3"/>
      <c r="N33" s="3"/>
      <c r="O33" s="3"/>
      <c r="P33" s="3"/>
      <c r="Q33" s="3"/>
      <c r="R33" s="3"/>
      <c r="S33" s="3"/>
      <c r="T33" s="3"/>
      <c r="U33" s="3"/>
      <c r="V33" s="3"/>
      <c r="W33" s="3"/>
      <c r="X33" s="3"/>
      <c r="Y33" s="3"/>
      <c r="Z33" s="3"/>
      <c r="AA33" s="3"/>
      <c r="AB33" s="3"/>
      <c r="AC33" s="3"/>
      <c r="AD33" s="3"/>
      <c r="AE33" s="28"/>
      <c r="AG33" s="28"/>
      <c r="AH33" s="28"/>
      <c r="AI33" s="28"/>
    </row>
    <row r="34" spans="1:35" ht="15" customHeight="1">
      <c r="A34" s="3"/>
      <c r="B34" s="352">
        <f>IF('BIABacus PR 1.3U'!ES66&gt;0,'BIABacus PR 1.3U'!ES66,"")</f>
      </c>
      <c r="C34" s="352"/>
      <c r="D34" s="352"/>
      <c r="E34" s="352"/>
      <c r="F34" s="352"/>
      <c r="H34" s="350">
        <f>IF('BIABacus PR 1.3U'!EY66&gt;0,'BIABacus PR 1.3U'!EY66,"")</f>
      </c>
      <c r="I34" s="351"/>
      <c r="J34" s="351"/>
      <c r="K34" s="351"/>
      <c r="L34" s="351"/>
      <c r="M34" s="351"/>
      <c r="N34" s="351"/>
      <c r="O34" s="351"/>
      <c r="P34" s="351"/>
      <c r="Q34" s="351"/>
      <c r="R34" s="351"/>
      <c r="S34" s="351"/>
      <c r="T34" s="351"/>
      <c r="U34" s="351"/>
      <c r="V34" s="351"/>
      <c r="W34" s="351"/>
      <c r="X34" s="351"/>
      <c r="Y34" s="351"/>
      <c r="Z34" s="351"/>
      <c r="AA34" s="351"/>
      <c r="AB34" s="351"/>
      <c r="AC34" s="351"/>
      <c r="AD34" s="3"/>
      <c r="AE34" s="346">
        <f>IF('BIABacus PR 1.3U'!FV66&gt;0,'BIABacus PR 1.3U'!FV66,"")</f>
      </c>
      <c r="AF34" s="346"/>
      <c r="AG34" s="346"/>
      <c r="AH34" s="346"/>
      <c r="AI34" s="346"/>
    </row>
    <row r="35" spans="1:35" ht="15" customHeight="1">
      <c r="A35" s="28"/>
      <c r="B35" s="28"/>
      <c r="C35" s="28"/>
      <c r="D35" s="28"/>
      <c r="E35" s="28"/>
      <c r="F35" s="28"/>
      <c r="G35" s="28"/>
      <c r="H35" s="3"/>
      <c r="I35" s="3"/>
      <c r="J35" s="3"/>
      <c r="K35" s="3"/>
      <c r="L35" s="3"/>
      <c r="M35" s="3"/>
      <c r="N35" s="3"/>
      <c r="O35" s="3"/>
      <c r="P35" s="3"/>
      <c r="Q35" s="3"/>
      <c r="R35" s="3"/>
      <c r="S35" s="3"/>
      <c r="T35" s="3"/>
      <c r="U35" s="3"/>
      <c r="V35" s="3"/>
      <c r="W35" s="3"/>
      <c r="X35" s="3"/>
      <c r="Y35" s="3"/>
      <c r="Z35" s="3"/>
      <c r="AA35" s="3"/>
      <c r="AB35" s="3"/>
      <c r="AC35" s="3"/>
      <c r="AD35" s="3"/>
      <c r="AE35" s="28"/>
      <c r="AG35" s="28"/>
      <c r="AH35" s="28"/>
      <c r="AI35" s="28"/>
    </row>
    <row r="36" spans="1:35" ht="15" customHeight="1">
      <c r="A36" s="3"/>
      <c r="B36" s="352">
        <f>IF('BIABacus PR 1.3U'!ES69&gt;0,'BIABacus PR 1.3U'!ES69,"")</f>
      </c>
      <c r="C36" s="352"/>
      <c r="D36" s="352"/>
      <c r="E36" s="352"/>
      <c r="F36" s="352"/>
      <c r="H36" s="350">
        <f>IF('BIABacus PR 1.3U'!EY69&gt;0,'BIABacus PR 1.3U'!EY69,"")</f>
      </c>
      <c r="I36" s="351"/>
      <c r="J36" s="351"/>
      <c r="K36" s="351"/>
      <c r="L36" s="351"/>
      <c r="M36" s="351"/>
      <c r="N36" s="351"/>
      <c r="O36" s="351"/>
      <c r="P36" s="351"/>
      <c r="Q36" s="351"/>
      <c r="R36" s="351"/>
      <c r="S36" s="351"/>
      <c r="T36" s="351"/>
      <c r="U36" s="351"/>
      <c r="V36" s="351"/>
      <c r="W36" s="351"/>
      <c r="X36" s="351"/>
      <c r="Y36" s="351"/>
      <c r="Z36" s="351"/>
      <c r="AA36" s="351"/>
      <c r="AB36" s="351"/>
      <c r="AC36" s="351"/>
      <c r="AD36" s="3"/>
      <c r="AE36" s="346">
        <f>IF('BIABacus PR 1.3U'!FV69&gt;0,'BIABacus PR 1.3U'!FV69,"")</f>
      </c>
      <c r="AF36" s="346"/>
      <c r="AG36" s="346"/>
      <c r="AH36" s="346"/>
      <c r="AI36" s="346"/>
    </row>
    <row r="37" spans="1:35" ht="15" customHeight="1">
      <c r="A37" s="28"/>
      <c r="B37" s="28"/>
      <c r="C37" s="28"/>
      <c r="D37" s="28"/>
      <c r="E37" s="28"/>
      <c r="F37" s="28"/>
      <c r="G37" s="28"/>
      <c r="H37" s="3"/>
      <c r="I37" s="3"/>
      <c r="J37" s="3"/>
      <c r="K37" s="3"/>
      <c r="L37" s="3"/>
      <c r="M37" s="3"/>
      <c r="N37" s="3"/>
      <c r="O37" s="3"/>
      <c r="P37" s="3"/>
      <c r="Q37" s="3"/>
      <c r="R37" s="3"/>
      <c r="S37" s="3"/>
      <c r="T37" s="3"/>
      <c r="U37" s="3"/>
      <c r="V37" s="3"/>
      <c r="W37" s="3"/>
      <c r="X37" s="3"/>
      <c r="Y37" s="3"/>
      <c r="Z37" s="3"/>
      <c r="AA37" s="3"/>
      <c r="AB37" s="3"/>
      <c r="AC37" s="3"/>
      <c r="AD37" s="3"/>
      <c r="AE37" s="28"/>
      <c r="AG37" s="28"/>
      <c r="AH37" s="28"/>
      <c r="AI37" s="28"/>
    </row>
    <row r="38" spans="1:35" ht="15" customHeight="1">
      <c r="A38" s="3"/>
      <c r="B38" s="352">
        <f>IF('BIABacus PR 1.3U'!ES72&gt;0,'BIABacus PR 1.3U'!ES72,"")</f>
      </c>
      <c r="C38" s="352"/>
      <c r="D38" s="352"/>
      <c r="E38" s="352"/>
      <c r="F38" s="352"/>
      <c r="H38" s="350">
        <f>IF('BIABacus PR 1.3U'!EY72&gt;0,'BIABacus PR 1.3U'!EY72,"")</f>
      </c>
      <c r="I38" s="351"/>
      <c r="J38" s="351"/>
      <c r="K38" s="351"/>
      <c r="L38" s="351"/>
      <c r="M38" s="351"/>
      <c r="N38" s="351"/>
      <c r="O38" s="351"/>
      <c r="P38" s="351"/>
      <c r="Q38" s="351"/>
      <c r="R38" s="351"/>
      <c r="S38" s="351"/>
      <c r="T38" s="351"/>
      <c r="U38" s="351"/>
      <c r="V38" s="351"/>
      <c r="W38" s="351"/>
      <c r="X38" s="351"/>
      <c r="Y38" s="351"/>
      <c r="Z38" s="351"/>
      <c r="AA38" s="351"/>
      <c r="AB38" s="351"/>
      <c r="AC38" s="351"/>
      <c r="AD38" s="3"/>
      <c r="AE38" s="346">
        <f>IF('BIABacus PR 1.3U'!FV72&gt;0,'BIABacus PR 1.3U'!FV72,"")</f>
      </c>
      <c r="AF38" s="346"/>
      <c r="AG38" s="346"/>
      <c r="AH38" s="346"/>
      <c r="AI38" s="346"/>
    </row>
    <row r="39" spans="1:35" ht="15" customHeight="1">
      <c r="A39" s="28"/>
      <c r="B39" s="28"/>
      <c r="C39" s="28"/>
      <c r="D39" s="28"/>
      <c r="E39" s="28"/>
      <c r="F39" s="28"/>
      <c r="G39" s="28"/>
      <c r="H39" s="3"/>
      <c r="I39" s="3"/>
      <c r="J39" s="3"/>
      <c r="K39" s="3"/>
      <c r="L39" s="3"/>
      <c r="M39" s="3"/>
      <c r="N39" s="3"/>
      <c r="O39" s="3"/>
      <c r="P39" s="3"/>
      <c r="Q39" s="3"/>
      <c r="R39" s="3"/>
      <c r="S39" s="3"/>
      <c r="T39" s="3"/>
      <c r="U39" s="3"/>
      <c r="V39" s="3"/>
      <c r="W39" s="3"/>
      <c r="X39" s="3"/>
      <c r="Y39" s="3"/>
      <c r="Z39" s="3"/>
      <c r="AA39" s="3"/>
      <c r="AB39" s="3"/>
      <c r="AC39" s="3"/>
      <c r="AD39" s="3"/>
      <c r="AE39" s="28"/>
      <c r="AG39" s="28"/>
      <c r="AH39" s="28"/>
      <c r="AI39" s="28"/>
    </row>
    <row r="40" spans="1:35" ht="15" customHeight="1">
      <c r="A40" s="3"/>
      <c r="B40" s="352">
        <f>IF('BIABacus PR 1.3U'!ES75&gt;0,'BIABacus PR 1.3U'!ES75,"")</f>
      </c>
      <c r="C40" s="352"/>
      <c r="D40" s="352"/>
      <c r="E40" s="352"/>
      <c r="F40" s="352"/>
      <c r="H40" s="350">
        <f>IF('BIABacus PR 1.3U'!EY75&gt;0,'BIABacus PR 1.3U'!EY75,"")</f>
      </c>
      <c r="I40" s="351"/>
      <c r="J40" s="351"/>
      <c r="K40" s="351"/>
      <c r="L40" s="351"/>
      <c r="M40" s="351"/>
      <c r="N40" s="351"/>
      <c r="O40" s="351"/>
      <c r="P40" s="351"/>
      <c r="Q40" s="351"/>
      <c r="R40" s="351"/>
      <c r="S40" s="351"/>
      <c r="T40" s="351"/>
      <c r="U40" s="351"/>
      <c r="V40" s="351"/>
      <c r="W40" s="351"/>
      <c r="X40" s="351"/>
      <c r="Y40" s="351"/>
      <c r="Z40" s="351"/>
      <c r="AA40" s="351"/>
      <c r="AB40" s="351"/>
      <c r="AC40" s="351"/>
      <c r="AD40" s="3"/>
      <c r="AE40" s="346">
        <f>IF('BIABacus PR 1.3U'!FV75&gt;0,'BIABacus PR 1.3U'!FV75,"")</f>
      </c>
      <c r="AF40" s="346"/>
      <c r="AG40" s="346"/>
      <c r="AH40" s="346"/>
      <c r="AI40" s="346"/>
    </row>
    <row r="41" spans="1:35" ht="15" customHeight="1">
      <c r="A41" s="28"/>
      <c r="B41" s="28"/>
      <c r="C41" s="28"/>
      <c r="D41" s="28"/>
      <c r="E41" s="28"/>
      <c r="F41" s="28"/>
      <c r="G41" s="28"/>
      <c r="H41" s="3"/>
      <c r="I41" s="3"/>
      <c r="J41" s="3"/>
      <c r="K41" s="3"/>
      <c r="L41" s="3"/>
      <c r="M41" s="3"/>
      <c r="N41" s="3"/>
      <c r="O41" s="3"/>
      <c r="P41" s="3"/>
      <c r="Q41" s="3"/>
      <c r="R41" s="3"/>
      <c r="S41" s="3"/>
      <c r="T41" s="3"/>
      <c r="U41" s="3"/>
      <c r="V41" s="3"/>
      <c r="W41" s="3"/>
      <c r="X41" s="3"/>
      <c r="Y41" s="3"/>
      <c r="Z41" s="3"/>
      <c r="AA41" s="3"/>
      <c r="AB41" s="3"/>
      <c r="AC41" s="3"/>
      <c r="AD41" s="3"/>
      <c r="AE41" s="28"/>
      <c r="AG41" s="28"/>
      <c r="AH41" s="28"/>
      <c r="AI41" s="28"/>
    </row>
    <row r="42" spans="1:35" ht="15" customHeight="1">
      <c r="A42" s="3"/>
      <c r="B42" s="352">
        <f>IF('BIABacus PR 1.3U'!ES78&gt;0,'BIABacus PR 1.3U'!ES78,"")</f>
      </c>
      <c r="C42" s="352"/>
      <c r="D42" s="352"/>
      <c r="E42" s="352"/>
      <c r="F42" s="352"/>
      <c r="H42" s="350">
        <f>IF('BIABacus PR 1.3U'!EY78&gt;0,'BIABacus PR 1.3U'!EY78,"")</f>
      </c>
      <c r="I42" s="351"/>
      <c r="J42" s="351"/>
      <c r="K42" s="351"/>
      <c r="L42" s="351"/>
      <c r="M42" s="351"/>
      <c r="N42" s="351"/>
      <c r="O42" s="351"/>
      <c r="P42" s="351"/>
      <c r="Q42" s="351"/>
      <c r="R42" s="351"/>
      <c r="S42" s="351"/>
      <c r="T42" s="351"/>
      <c r="U42" s="351"/>
      <c r="V42" s="351"/>
      <c r="W42" s="351"/>
      <c r="X42" s="351"/>
      <c r="Y42" s="351"/>
      <c r="Z42" s="351"/>
      <c r="AA42" s="351"/>
      <c r="AB42" s="351"/>
      <c r="AC42" s="351"/>
      <c r="AD42" s="3"/>
      <c r="AE42" s="346">
        <f>IF('BIABacus PR 1.3U'!FV78&gt;0,'BIABacus PR 1.3U'!FV78,"")</f>
      </c>
      <c r="AF42" s="346"/>
      <c r="AG42" s="346"/>
      <c r="AH42" s="346"/>
      <c r="AI42" s="346"/>
    </row>
    <row r="43" spans="1:35" ht="15" customHeight="1">
      <c r="A43" s="28"/>
      <c r="B43" s="28"/>
      <c r="C43" s="28"/>
      <c r="D43" s="28"/>
      <c r="E43" s="28"/>
      <c r="F43" s="28"/>
      <c r="G43" s="28"/>
      <c r="H43" s="3"/>
      <c r="I43" s="3"/>
      <c r="J43" s="3"/>
      <c r="K43" s="3"/>
      <c r="L43" s="3"/>
      <c r="M43" s="3"/>
      <c r="N43" s="3"/>
      <c r="O43" s="3"/>
      <c r="P43" s="3"/>
      <c r="Q43" s="3"/>
      <c r="R43" s="3"/>
      <c r="S43" s="3"/>
      <c r="T43" s="3"/>
      <c r="U43" s="3"/>
      <c r="V43" s="3"/>
      <c r="W43" s="3"/>
      <c r="X43" s="3"/>
      <c r="Y43" s="3"/>
      <c r="Z43" s="3"/>
      <c r="AA43" s="3"/>
      <c r="AB43" s="3"/>
      <c r="AC43" s="3"/>
      <c r="AD43" s="3"/>
      <c r="AE43" s="28"/>
      <c r="AG43" s="28"/>
      <c r="AH43" s="28"/>
      <c r="AI43" s="28"/>
    </row>
    <row r="44" spans="1:35" ht="15" customHeight="1">
      <c r="A44" s="3"/>
      <c r="B44" s="352">
        <f>IF('BIABacus PR 1.3U'!ES81&gt;0,'BIABacus PR 1.3U'!ES81,"")</f>
      </c>
      <c r="C44" s="352"/>
      <c r="D44" s="352"/>
      <c r="E44" s="352"/>
      <c r="F44" s="352"/>
      <c r="H44" s="350">
        <f>IF('BIABacus PR 1.3U'!EY81&gt;0,'BIABacus PR 1.3U'!EY81,"")</f>
      </c>
      <c r="I44" s="351"/>
      <c r="J44" s="351"/>
      <c r="K44" s="351"/>
      <c r="L44" s="351"/>
      <c r="M44" s="351"/>
      <c r="N44" s="351"/>
      <c r="O44" s="351"/>
      <c r="P44" s="351"/>
      <c r="Q44" s="351"/>
      <c r="R44" s="351"/>
      <c r="S44" s="351"/>
      <c r="T44" s="351"/>
      <c r="U44" s="351"/>
      <c r="V44" s="351"/>
      <c r="W44" s="351"/>
      <c r="X44" s="351"/>
      <c r="Y44" s="351"/>
      <c r="Z44" s="351"/>
      <c r="AA44" s="351"/>
      <c r="AB44" s="351"/>
      <c r="AC44" s="351"/>
      <c r="AD44" s="3"/>
      <c r="AE44" s="346">
        <f>IF('BIABacus PR 1.3U'!FV81&gt;0,'BIABacus PR 1.3U'!FV81,"")</f>
      </c>
      <c r="AF44" s="346"/>
      <c r="AG44" s="346"/>
      <c r="AH44" s="346"/>
      <c r="AI44" s="346"/>
    </row>
    <row r="45" spans="1:35" ht="15" customHeight="1">
      <c r="A45" s="28"/>
      <c r="B45" s="28"/>
      <c r="C45" s="28"/>
      <c r="D45" s="28"/>
      <c r="E45" s="28"/>
      <c r="F45" s="28"/>
      <c r="G45" s="28"/>
      <c r="H45" s="3"/>
      <c r="I45" s="3"/>
      <c r="J45" s="3"/>
      <c r="K45" s="3"/>
      <c r="L45" s="3"/>
      <c r="M45" s="3"/>
      <c r="N45" s="3"/>
      <c r="O45" s="3"/>
      <c r="P45" s="3"/>
      <c r="Q45" s="3"/>
      <c r="R45" s="3"/>
      <c r="S45" s="3"/>
      <c r="T45" s="3"/>
      <c r="U45" s="3"/>
      <c r="V45" s="3"/>
      <c r="W45" s="3"/>
      <c r="X45" s="3"/>
      <c r="Y45" s="3"/>
      <c r="Z45" s="3"/>
      <c r="AA45" s="3"/>
      <c r="AB45" s="3"/>
      <c r="AC45" s="3"/>
      <c r="AD45" s="3"/>
      <c r="AE45" s="28"/>
      <c r="AG45" s="28"/>
      <c r="AH45" s="28"/>
      <c r="AI45" s="28"/>
    </row>
    <row r="46" spans="1:35" ht="15" customHeight="1">
      <c r="A46" s="3"/>
      <c r="B46" s="352">
        <f>IF('BIABacus PR 1.3U'!ES84&gt;0,'BIABacus PR 1.3U'!ES84,"")</f>
      </c>
      <c r="C46" s="352"/>
      <c r="D46" s="352"/>
      <c r="E46" s="352"/>
      <c r="F46" s="352"/>
      <c r="H46" s="350">
        <f>IF('BIABacus PR 1.3U'!EY84&gt;0,'BIABacus PR 1.3U'!EY84,"")</f>
      </c>
      <c r="I46" s="351"/>
      <c r="J46" s="351"/>
      <c r="K46" s="351"/>
      <c r="L46" s="351"/>
      <c r="M46" s="351"/>
      <c r="N46" s="351"/>
      <c r="O46" s="351"/>
      <c r="P46" s="351"/>
      <c r="Q46" s="351"/>
      <c r="R46" s="351"/>
      <c r="S46" s="351"/>
      <c r="T46" s="351"/>
      <c r="U46" s="351"/>
      <c r="V46" s="351"/>
      <c r="W46" s="351"/>
      <c r="X46" s="351"/>
      <c r="Y46" s="351"/>
      <c r="Z46" s="351"/>
      <c r="AA46" s="351"/>
      <c r="AB46" s="351"/>
      <c r="AC46" s="351"/>
      <c r="AD46" s="3"/>
      <c r="AE46" s="346">
        <f>IF('BIABacus PR 1.3U'!FV84&gt;0,'BIABacus PR 1.3U'!FV84,"")</f>
      </c>
      <c r="AF46" s="346"/>
      <c r="AG46" s="346"/>
      <c r="AH46" s="346"/>
      <c r="AI46" s="346"/>
    </row>
    <row r="47" spans="1:35" ht="15" customHeight="1">
      <c r="A47" s="28"/>
      <c r="B47" s="28"/>
      <c r="C47" s="28"/>
      <c r="D47" s="28"/>
      <c r="E47" s="28"/>
      <c r="F47" s="28"/>
      <c r="G47" s="28"/>
      <c r="H47" s="3"/>
      <c r="I47" s="3"/>
      <c r="J47" s="3"/>
      <c r="K47" s="3"/>
      <c r="L47" s="3"/>
      <c r="M47" s="3"/>
      <c r="N47" s="3"/>
      <c r="O47" s="3"/>
      <c r="P47" s="3"/>
      <c r="Q47" s="3"/>
      <c r="R47" s="3"/>
      <c r="S47" s="3"/>
      <c r="T47" s="3"/>
      <c r="U47" s="3"/>
      <c r="V47" s="3"/>
      <c r="W47" s="3"/>
      <c r="X47" s="3"/>
      <c r="Y47" s="3"/>
      <c r="Z47" s="3"/>
      <c r="AA47" s="3"/>
      <c r="AB47" s="3"/>
      <c r="AC47" s="3"/>
      <c r="AD47" s="3"/>
      <c r="AE47" s="28"/>
      <c r="AG47" s="28"/>
      <c r="AH47" s="28"/>
      <c r="AI47" s="28"/>
    </row>
    <row r="48" spans="1:35" ht="15" customHeight="1">
      <c r="A48" s="3"/>
      <c r="B48" s="352">
        <f>IF('BIABacus PR 1.3U'!ES87&gt;0,'BIABacus PR 1.3U'!ES87,"")</f>
      </c>
      <c r="C48" s="352"/>
      <c r="D48" s="352"/>
      <c r="E48" s="352"/>
      <c r="F48" s="352"/>
      <c r="H48" s="350">
        <f>IF('BIABacus PR 1.3U'!EY87&gt;0,'BIABacus PR 1.3U'!EY87,"")</f>
      </c>
      <c r="I48" s="351"/>
      <c r="J48" s="351"/>
      <c r="K48" s="351"/>
      <c r="L48" s="351"/>
      <c r="M48" s="351"/>
      <c r="N48" s="351"/>
      <c r="O48" s="351"/>
      <c r="P48" s="351"/>
      <c r="Q48" s="351"/>
      <c r="R48" s="351"/>
      <c r="S48" s="351"/>
      <c r="T48" s="351"/>
      <c r="U48" s="351"/>
      <c r="V48" s="351"/>
      <c r="W48" s="351"/>
      <c r="X48" s="351"/>
      <c r="Y48" s="351"/>
      <c r="Z48" s="351"/>
      <c r="AA48" s="351"/>
      <c r="AB48" s="351"/>
      <c r="AC48" s="351"/>
      <c r="AD48" s="3"/>
      <c r="AE48" s="346">
        <f>IF('BIABacus PR 1.3U'!FV87&gt;0,'BIABacus PR 1.3U'!FV87,"")</f>
      </c>
      <c r="AF48" s="346"/>
      <c r="AG48" s="346"/>
      <c r="AH48" s="346"/>
      <c r="AI48" s="346"/>
    </row>
    <row r="49" spans="1:35" ht="15" customHeight="1">
      <c r="A49" s="28"/>
      <c r="B49" s="28"/>
      <c r="C49" s="28"/>
      <c r="D49" s="28"/>
      <c r="E49" s="28"/>
      <c r="F49" s="28"/>
      <c r="G49" s="28"/>
      <c r="H49" s="3"/>
      <c r="I49" s="3"/>
      <c r="J49" s="3"/>
      <c r="K49" s="3"/>
      <c r="L49" s="3"/>
      <c r="M49" s="3"/>
      <c r="N49" s="3"/>
      <c r="O49" s="3"/>
      <c r="P49" s="3"/>
      <c r="Q49" s="3"/>
      <c r="R49" s="3"/>
      <c r="S49" s="3"/>
      <c r="T49" s="3"/>
      <c r="U49" s="3"/>
      <c r="V49" s="3"/>
      <c r="W49" s="3"/>
      <c r="X49" s="3"/>
      <c r="Y49" s="3"/>
      <c r="Z49" s="3"/>
      <c r="AA49" s="3"/>
      <c r="AB49" s="3"/>
      <c r="AC49" s="3"/>
      <c r="AD49" s="3"/>
      <c r="AE49" s="28"/>
      <c r="AG49" s="28"/>
      <c r="AH49" s="28"/>
      <c r="AI49" s="28"/>
    </row>
    <row r="50" spans="1:35" ht="15" customHeight="1">
      <c r="A50" s="3"/>
      <c r="B50" s="352">
        <f>IF('BIABacus PR 1.3U'!ES90&gt;0,'BIABacus PR 1.3U'!ES90,"")</f>
      </c>
      <c r="C50" s="352"/>
      <c r="D50" s="352"/>
      <c r="E50" s="352"/>
      <c r="F50" s="352"/>
      <c r="H50" s="350">
        <f>IF('BIABacus PR 1.3U'!EY90&gt;0,'BIABacus PR 1.3U'!EY90,"")</f>
      </c>
      <c r="I50" s="351"/>
      <c r="J50" s="351"/>
      <c r="K50" s="351"/>
      <c r="L50" s="351"/>
      <c r="M50" s="351"/>
      <c r="N50" s="351"/>
      <c r="O50" s="351"/>
      <c r="P50" s="351"/>
      <c r="Q50" s="351"/>
      <c r="R50" s="351"/>
      <c r="S50" s="351"/>
      <c r="T50" s="351"/>
      <c r="U50" s="351"/>
      <c r="V50" s="351"/>
      <c r="W50" s="351"/>
      <c r="X50" s="351"/>
      <c r="Y50" s="351"/>
      <c r="Z50" s="351"/>
      <c r="AA50" s="351"/>
      <c r="AB50" s="351"/>
      <c r="AC50" s="351"/>
      <c r="AD50" s="3"/>
      <c r="AE50" s="346">
        <f>IF('BIABacus PR 1.3U'!FV90&gt;0,'BIABacus PR 1.3U'!FV90,"")</f>
      </c>
      <c r="AF50" s="346"/>
      <c r="AG50" s="346"/>
      <c r="AH50" s="346"/>
      <c r="AI50" s="346"/>
    </row>
    <row r="51" spans="1:35" ht="15" customHeight="1">
      <c r="A51" s="28"/>
      <c r="B51" s="28"/>
      <c r="C51" s="28"/>
      <c r="D51" s="28"/>
      <c r="E51" s="28"/>
      <c r="F51" s="28"/>
      <c r="G51" s="28"/>
      <c r="H51" s="3"/>
      <c r="I51" s="3"/>
      <c r="J51" s="3"/>
      <c r="K51" s="3"/>
      <c r="L51" s="3"/>
      <c r="M51" s="3"/>
      <c r="N51" s="3"/>
      <c r="O51" s="3"/>
      <c r="P51" s="3"/>
      <c r="Q51" s="3"/>
      <c r="R51" s="3"/>
      <c r="S51" s="3"/>
      <c r="T51" s="3"/>
      <c r="U51" s="3"/>
      <c r="V51" s="3"/>
      <c r="W51" s="3"/>
      <c r="X51" s="3"/>
      <c r="Y51" s="3"/>
      <c r="Z51" s="3"/>
      <c r="AA51" s="3"/>
      <c r="AB51" s="3"/>
      <c r="AC51" s="3"/>
      <c r="AD51" s="3"/>
      <c r="AE51" s="28"/>
      <c r="AG51" s="28"/>
      <c r="AH51" s="28"/>
      <c r="AI51" s="28"/>
    </row>
    <row r="52" spans="1:35" ht="15" customHeight="1">
      <c r="A52" s="3"/>
      <c r="B52" s="352">
        <f>IF('BIABacus PR 1.3U'!ES93&gt;0,'BIABacus PR 1.3U'!ES93,"")</f>
      </c>
      <c r="C52" s="352"/>
      <c r="D52" s="352"/>
      <c r="E52" s="352"/>
      <c r="F52" s="352"/>
      <c r="H52" s="350">
        <f>IF('BIABacus PR 1.3U'!EY93&gt;0,'BIABacus PR 1.3U'!EY93,"")</f>
      </c>
      <c r="I52" s="351"/>
      <c r="J52" s="351"/>
      <c r="K52" s="351"/>
      <c r="L52" s="351"/>
      <c r="M52" s="351"/>
      <c r="N52" s="351"/>
      <c r="O52" s="351"/>
      <c r="P52" s="351"/>
      <c r="Q52" s="351"/>
      <c r="R52" s="351"/>
      <c r="S52" s="351"/>
      <c r="T52" s="351"/>
      <c r="U52" s="351"/>
      <c r="V52" s="351"/>
      <c r="W52" s="351"/>
      <c r="X52" s="351"/>
      <c r="Y52" s="351"/>
      <c r="Z52" s="351"/>
      <c r="AA52" s="351"/>
      <c r="AB52" s="351"/>
      <c r="AC52" s="351"/>
      <c r="AD52" s="3"/>
      <c r="AE52" s="346">
        <f>IF('BIABacus PR 1.3U'!FV93&gt;0,'BIABacus PR 1.3U'!FV93,"")</f>
      </c>
      <c r="AF52" s="346"/>
      <c r="AG52" s="346"/>
      <c r="AH52" s="346"/>
      <c r="AI52" s="346"/>
    </row>
    <row r="53" spans="1:35" ht="15" customHeight="1">
      <c r="A53" s="28"/>
      <c r="B53" s="28"/>
      <c r="C53" s="28"/>
      <c r="D53" s="28"/>
      <c r="E53" s="28"/>
      <c r="F53" s="28"/>
      <c r="G53" s="28"/>
      <c r="H53" s="3"/>
      <c r="I53" s="3"/>
      <c r="J53" s="3"/>
      <c r="K53" s="3"/>
      <c r="L53" s="3"/>
      <c r="M53" s="3"/>
      <c r="N53" s="3"/>
      <c r="O53" s="3"/>
      <c r="P53" s="3"/>
      <c r="Q53" s="3"/>
      <c r="R53" s="3"/>
      <c r="S53" s="3"/>
      <c r="T53" s="3"/>
      <c r="U53" s="3"/>
      <c r="V53" s="3"/>
      <c r="W53" s="3"/>
      <c r="X53" s="3"/>
      <c r="Y53" s="3"/>
      <c r="Z53" s="3"/>
      <c r="AA53" s="3"/>
      <c r="AB53" s="3"/>
      <c r="AC53" s="3"/>
      <c r="AD53" s="3"/>
      <c r="AE53" s="28"/>
      <c r="AG53" s="28"/>
      <c r="AH53" s="28"/>
      <c r="AI53" s="28"/>
    </row>
    <row r="54" spans="1:35" ht="15" customHeight="1">
      <c r="A54" s="3"/>
      <c r="B54" s="352">
        <f>IF('BIABacus PR 1.3U'!ES96&gt;0,'BIABacus PR 1.3U'!ES96,"")</f>
      </c>
      <c r="C54" s="352"/>
      <c r="D54" s="352"/>
      <c r="E54" s="352"/>
      <c r="F54" s="352"/>
      <c r="H54" s="350">
        <f>IF('BIABacus PR 1.3U'!EY96&gt;0,'BIABacus PR 1.3U'!EY96,"")</f>
      </c>
      <c r="I54" s="351"/>
      <c r="J54" s="351"/>
      <c r="K54" s="351"/>
      <c r="L54" s="351"/>
      <c r="M54" s="351"/>
      <c r="N54" s="351"/>
      <c r="O54" s="351"/>
      <c r="P54" s="351"/>
      <c r="Q54" s="351"/>
      <c r="R54" s="351"/>
      <c r="S54" s="351"/>
      <c r="T54" s="351"/>
      <c r="U54" s="351"/>
      <c r="V54" s="351"/>
      <c r="W54" s="351"/>
      <c r="X54" s="351"/>
      <c r="Y54" s="351"/>
      <c r="Z54" s="351"/>
      <c r="AA54" s="351"/>
      <c r="AB54" s="351"/>
      <c r="AC54" s="351"/>
      <c r="AD54" s="3"/>
      <c r="AE54" s="346">
        <f>IF('BIABacus PR 1.3U'!FV96&gt;0,'BIABacus PR 1.3U'!FV96,"")</f>
      </c>
      <c r="AF54" s="346"/>
      <c r="AG54" s="346"/>
      <c r="AH54" s="346"/>
      <c r="AI54" s="346"/>
    </row>
    <row r="55" spans="1:35" ht="15" customHeight="1">
      <c r="A55" s="28"/>
      <c r="B55" s="28"/>
      <c r="C55" s="28"/>
      <c r="D55" s="28"/>
      <c r="E55" s="28"/>
      <c r="F55" s="28"/>
      <c r="G55" s="28"/>
      <c r="H55" s="3"/>
      <c r="I55" s="3"/>
      <c r="J55" s="3"/>
      <c r="K55" s="3"/>
      <c r="L55" s="3"/>
      <c r="M55" s="3"/>
      <c r="N55" s="3"/>
      <c r="O55" s="3"/>
      <c r="P55" s="3"/>
      <c r="Q55" s="3"/>
      <c r="R55" s="3"/>
      <c r="S55" s="3"/>
      <c r="T55" s="3"/>
      <c r="U55" s="3"/>
      <c r="V55" s="3"/>
      <c r="W55" s="3"/>
      <c r="X55" s="3"/>
      <c r="Y55" s="3"/>
      <c r="Z55" s="3"/>
      <c r="AA55" s="3"/>
      <c r="AB55" s="3"/>
      <c r="AC55" s="3"/>
      <c r="AD55" s="3"/>
      <c r="AE55" s="28"/>
      <c r="AG55" s="28"/>
      <c r="AH55" s="28"/>
      <c r="AI55" s="28"/>
    </row>
    <row r="56" spans="1:35" ht="15" customHeight="1">
      <c r="A56" s="3"/>
      <c r="B56" s="352">
        <f>IF('BIABacus PR 1.3U'!ES99&gt;0,'BIABacus PR 1.3U'!ES99,"")</f>
      </c>
      <c r="C56" s="352"/>
      <c r="D56" s="352"/>
      <c r="E56" s="352"/>
      <c r="F56" s="352"/>
      <c r="H56" s="350">
        <f>IF('BIABacus PR 1.3U'!EY99&gt;0,'BIABacus PR 1.3U'!EY99,"")</f>
      </c>
      <c r="I56" s="351"/>
      <c r="J56" s="351"/>
      <c r="K56" s="351"/>
      <c r="L56" s="351"/>
      <c r="M56" s="351"/>
      <c r="N56" s="351"/>
      <c r="O56" s="351"/>
      <c r="P56" s="351"/>
      <c r="Q56" s="351"/>
      <c r="R56" s="351"/>
      <c r="S56" s="351"/>
      <c r="T56" s="351"/>
      <c r="U56" s="351"/>
      <c r="V56" s="351"/>
      <c r="W56" s="351"/>
      <c r="X56" s="351"/>
      <c r="Y56" s="351"/>
      <c r="Z56" s="351"/>
      <c r="AA56" s="351"/>
      <c r="AB56" s="351"/>
      <c r="AC56" s="351"/>
      <c r="AD56" s="3"/>
      <c r="AE56" s="346">
        <f>IF('BIABacus PR 1.3U'!FV99&gt;0,'BIABacus PR 1.3U'!FV99,"")</f>
      </c>
      <c r="AF56" s="346"/>
      <c r="AG56" s="346"/>
      <c r="AH56" s="346"/>
      <c r="AI56" s="346"/>
    </row>
    <row r="57" spans="1:35" ht="15" customHeight="1">
      <c r="A57" s="28"/>
      <c r="B57" s="28"/>
      <c r="C57" s="28"/>
      <c r="D57" s="28"/>
      <c r="E57" s="28"/>
      <c r="F57" s="28"/>
      <c r="G57" s="28"/>
      <c r="H57" s="3"/>
      <c r="I57" s="3"/>
      <c r="J57" s="3"/>
      <c r="K57" s="3"/>
      <c r="L57" s="3"/>
      <c r="M57" s="3"/>
      <c r="N57" s="3"/>
      <c r="O57" s="3"/>
      <c r="P57" s="3"/>
      <c r="Q57" s="3"/>
      <c r="R57" s="3"/>
      <c r="S57" s="3"/>
      <c r="T57" s="3"/>
      <c r="U57" s="3"/>
      <c r="V57" s="3"/>
      <c r="W57" s="3"/>
      <c r="X57" s="3"/>
      <c r="Y57" s="3"/>
      <c r="Z57" s="3"/>
      <c r="AA57" s="3"/>
      <c r="AB57" s="3"/>
      <c r="AC57" s="3"/>
      <c r="AD57" s="3"/>
      <c r="AE57" s="28"/>
      <c r="AG57" s="28"/>
      <c r="AH57" s="28"/>
      <c r="AI57" s="28"/>
    </row>
    <row r="58" spans="1:35" ht="15" customHeight="1">
      <c r="A58" s="3"/>
      <c r="B58" s="352">
        <f>IF('BIABacus PR 1.3U'!ES102&gt;0,'BIABacus PR 1.3U'!ES102,"")</f>
      </c>
      <c r="C58" s="352"/>
      <c r="D58" s="352"/>
      <c r="E58" s="352"/>
      <c r="F58" s="352"/>
      <c r="H58" s="350">
        <f>IF('BIABacus PR 1.3U'!EY102&gt;0,'BIABacus PR 1.3U'!EY102,"")</f>
      </c>
      <c r="I58" s="351"/>
      <c r="J58" s="351"/>
      <c r="K58" s="351"/>
      <c r="L58" s="351"/>
      <c r="M58" s="351"/>
      <c r="N58" s="351"/>
      <c r="O58" s="351"/>
      <c r="P58" s="351"/>
      <c r="Q58" s="351"/>
      <c r="R58" s="351"/>
      <c r="S58" s="351"/>
      <c r="T58" s="351"/>
      <c r="U58" s="351"/>
      <c r="V58" s="351"/>
      <c r="W58" s="351"/>
      <c r="X58" s="351"/>
      <c r="Y58" s="351"/>
      <c r="Z58" s="351"/>
      <c r="AA58" s="351"/>
      <c r="AB58" s="351"/>
      <c r="AC58" s="351"/>
      <c r="AD58" s="3"/>
      <c r="AE58" s="346">
        <f>IF('BIABacus PR 1.3U'!FV102&gt;0,'BIABacus PR 1.3U'!FV102,"")</f>
      </c>
      <c r="AF58" s="346"/>
      <c r="AG58" s="346"/>
      <c r="AH58" s="346"/>
      <c r="AI58" s="346"/>
    </row>
    <row r="59" spans="1:35" ht="15" customHeight="1">
      <c r="A59" s="28"/>
      <c r="B59" s="28"/>
      <c r="C59" s="28"/>
      <c r="D59" s="28"/>
      <c r="E59" s="28"/>
      <c r="F59" s="28"/>
      <c r="G59" s="28"/>
      <c r="H59" s="3"/>
      <c r="I59" s="3"/>
      <c r="J59" s="3"/>
      <c r="K59" s="3"/>
      <c r="L59" s="3"/>
      <c r="M59" s="3"/>
      <c r="N59" s="3"/>
      <c r="O59" s="3"/>
      <c r="P59" s="3"/>
      <c r="Q59" s="3"/>
      <c r="R59" s="3"/>
      <c r="S59" s="3"/>
      <c r="T59" s="3"/>
      <c r="U59" s="3"/>
      <c r="V59" s="3"/>
      <c r="W59" s="3"/>
      <c r="X59" s="3"/>
      <c r="Y59" s="3"/>
      <c r="Z59" s="3"/>
      <c r="AA59" s="3"/>
      <c r="AB59" s="3"/>
      <c r="AC59" s="3"/>
      <c r="AD59" s="3"/>
      <c r="AE59" s="28"/>
      <c r="AG59" s="28"/>
      <c r="AH59" s="28"/>
      <c r="AI59" s="28"/>
    </row>
    <row r="60" spans="1:35" ht="15" customHeight="1">
      <c r="A60" s="3"/>
      <c r="B60" s="352">
        <f>IF('BIABacus PR 1.3U'!ES105&gt;0,'BIABacus PR 1.3U'!ES105,"")</f>
      </c>
      <c r="C60" s="352"/>
      <c r="D60" s="352"/>
      <c r="E60" s="352"/>
      <c r="F60" s="352"/>
      <c r="H60" s="350">
        <f>IF('BIABacus PR 1.3U'!EY105&gt;0,'BIABacus PR 1.3U'!EY105,"")</f>
      </c>
      <c r="I60" s="351"/>
      <c r="J60" s="351"/>
      <c r="K60" s="351"/>
      <c r="L60" s="351"/>
      <c r="M60" s="351"/>
      <c r="N60" s="351"/>
      <c r="O60" s="351"/>
      <c r="P60" s="351"/>
      <c r="Q60" s="351"/>
      <c r="R60" s="351"/>
      <c r="S60" s="351"/>
      <c r="T60" s="351"/>
      <c r="U60" s="351"/>
      <c r="V60" s="351"/>
      <c r="W60" s="351"/>
      <c r="X60" s="351"/>
      <c r="Y60" s="351"/>
      <c r="Z60" s="351"/>
      <c r="AA60" s="351"/>
      <c r="AB60" s="351"/>
      <c r="AC60" s="351"/>
      <c r="AD60" s="3"/>
      <c r="AE60" s="346">
        <f>IF('BIABacus PR 1.3U'!FV105&gt;0,'BIABacus PR 1.3U'!FV105,"")</f>
      </c>
      <c r="AF60" s="346"/>
      <c r="AG60" s="346"/>
      <c r="AH60" s="346"/>
      <c r="AI60" s="346"/>
    </row>
    <row r="61" spans="1:35" ht="15" customHeight="1">
      <c r="A61" s="28"/>
      <c r="B61" s="28"/>
      <c r="C61" s="28"/>
      <c r="D61" s="28"/>
      <c r="E61" s="28"/>
      <c r="F61" s="28"/>
      <c r="G61" s="28"/>
      <c r="H61" s="3"/>
      <c r="I61" s="3"/>
      <c r="J61" s="3"/>
      <c r="K61" s="3"/>
      <c r="L61" s="3"/>
      <c r="M61" s="3"/>
      <c r="N61" s="3"/>
      <c r="O61" s="3"/>
      <c r="P61" s="3"/>
      <c r="Q61" s="3"/>
      <c r="R61" s="3"/>
      <c r="S61" s="3"/>
      <c r="T61" s="3"/>
      <c r="U61" s="3"/>
      <c r="V61" s="3"/>
      <c r="W61" s="3"/>
      <c r="X61" s="3"/>
      <c r="Y61" s="3"/>
      <c r="Z61" s="3"/>
      <c r="AA61" s="3"/>
      <c r="AB61" s="3"/>
      <c r="AC61" s="3"/>
      <c r="AD61" s="3"/>
      <c r="AE61" s="28"/>
      <c r="AG61" s="28"/>
      <c r="AH61" s="28"/>
      <c r="AI61" s="28"/>
    </row>
    <row r="62" spans="1:35" ht="15" customHeight="1">
      <c r="A62" s="3"/>
      <c r="B62" s="352">
        <f>IF('BIABacus PR 1.3U'!ES108&gt;0,'BIABacus PR 1.3U'!ES108,"")</f>
      </c>
      <c r="C62" s="352"/>
      <c r="D62" s="352"/>
      <c r="E62" s="352"/>
      <c r="F62" s="352"/>
      <c r="H62" s="350">
        <f>IF('BIABacus PR 1.3U'!EY108&gt;0,'BIABacus PR 1.3U'!EY108,"")</f>
      </c>
      <c r="I62" s="351"/>
      <c r="J62" s="351"/>
      <c r="K62" s="351"/>
      <c r="L62" s="351"/>
      <c r="M62" s="351"/>
      <c r="N62" s="351"/>
      <c r="O62" s="351"/>
      <c r="P62" s="351"/>
      <c r="Q62" s="351"/>
      <c r="R62" s="351"/>
      <c r="S62" s="351"/>
      <c r="T62" s="351"/>
      <c r="U62" s="351"/>
      <c r="V62" s="351"/>
      <c r="W62" s="351"/>
      <c r="X62" s="351"/>
      <c r="Y62" s="351"/>
      <c r="Z62" s="351"/>
      <c r="AA62" s="351"/>
      <c r="AB62" s="351"/>
      <c r="AC62" s="351"/>
      <c r="AD62" s="3"/>
      <c r="AE62" s="346">
        <f>IF('BIABacus PR 1.3U'!FV108&gt;0,'BIABacus PR 1.3U'!FV108,"")</f>
      </c>
      <c r="AF62" s="346"/>
      <c r="AG62" s="346"/>
      <c r="AH62" s="346"/>
      <c r="AI62" s="346"/>
    </row>
    <row r="63" spans="1:35" ht="15" customHeight="1">
      <c r="A63" s="28"/>
      <c r="B63" s="28"/>
      <c r="C63" s="28"/>
      <c r="D63" s="28"/>
      <c r="E63" s="28"/>
      <c r="F63" s="28"/>
      <c r="G63" s="28"/>
      <c r="H63" s="3"/>
      <c r="I63" s="3"/>
      <c r="J63" s="3"/>
      <c r="K63" s="3"/>
      <c r="L63" s="3"/>
      <c r="M63" s="3"/>
      <c r="N63" s="3"/>
      <c r="O63" s="3"/>
      <c r="P63" s="3"/>
      <c r="Q63" s="3"/>
      <c r="R63" s="3"/>
      <c r="S63" s="3"/>
      <c r="T63" s="3"/>
      <c r="U63" s="3"/>
      <c r="V63" s="3"/>
      <c r="W63" s="3"/>
      <c r="X63" s="3"/>
      <c r="Y63" s="3"/>
      <c r="Z63" s="3"/>
      <c r="AA63" s="3"/>
      <c r="AB63" s="3"/>
      <c r="AC63" s="3"/>
      <c r="AD63" s="3"/>
      <c r="AE63" s="28"/>
      <c r="AG63" s="28"/>
      <c r="AH63" s="28"/>
      <c r="AI63" s="28"/>
    </row>
    <row r="64" spans="1:35" ht="15" customHeight="1">
      <c r="A64" s="3"/>
      <c r="B64" s="352">
        <f>IF('BIABacus PR 1.3U'!ES111&gt;0,'BIABacus PR 1.3U'!ES111,"")</f>
      </c>
      <c r="C64" s="352"/>
      <c r="D64" s="352"/>
      <c r="E64" s="352"/>
      <c r="F64" s="352"/>
      <c r="H64" s="350">
        <f>IF('BIABacus PR 1.3U'!EY111&gt;0,'BIABacus PR 1.3U'!EY111,"")</f>
      </c>
      <c r="I64" s="351"/>
      <c r="J64" s="351"/>
      <c r="K64" s="351"/>
      <c r="L64" s="351"/>
      <c r="M64" s="351"/>
      <c r="N64" s="351"/>
      <c r="O64" s="351"/>
      <c r="P64" s="351"/>
      <c r="Q64" s="351"/>
      <c r="R64" s="351"/>
      <c r="S64" s="351"/>
      <c r="T64" s="351"/>
      <c r="U64" s="351"/>
      <c r="V64" s="351"/>
      <c r="W64" s="351"/>
      <c r="X64" s="351"/>
      <c r="Y64" s="351"/>
      <c r="Z64" s="351"/>
      <c r="AA64" s="351"/>
      <c r="AB64" s="351"/>
      <c r="AC64" s="351"/>
      <c r="AD64" s="3"/>
      <c r="AE64" s="346">
        <f>IF('BIABacus PR 1.3U'!FV111&gt;0,'BIABacus PR 1.3U'!FV111,"")</f>
      </c>
      <c r="AF64" s="346"/>
      <c r="AG64" s="346"/>
      <c r="AH64" s="346"/>
      <c r="AI64" s="346"/>
    </row>
    <row r="65" spans="1:35" ht="15" customHeight="1">
      <c r="A65" s="28"/>
      <c r="B65" s="28"/>
      <c r="C65" s="28"/>
      <c r="D65" s="28"/>
      <c r="E65" s="28"/>
      <c r="F65" s="28"/>
      <c r="G65" s="28"/>
      <c r="H65" s="3"/>
      <c r="I65" s="3"/>
      <c r="J65" s="3"/>
      <c r="K65" s="3"/>
      <c r="L65" s="3"/>
      <c r="M65" s="3"/>
      <c r="N65" s="3"/>
      <c r="O65" s="3"/>
      <c r="P65" s="3"/>
      <c r="Q65" s="3"/>
      <c r="R65" s="3"/>
      <c r="S65" s="3"/>
      <c r="T65" s="3"/>
      <c r="U65" s="3"/>
      <c r="V65" s="3"/>
      <c r="W65" s="3"/>
      <c r="X65" s="3"/>
      <c r="Y65" s="3"/>
      <c r="Z65" s="3"/>
      <c r="AA65" s="3"/>
      <c r="AB65" s="3"/>
      <c r="AC65" s="3"/>
      <c r="AD65" s="3"/>
      <c r="AE65" s="28"/>
      <c r="AG65" s="28"/>
      <c r="AH65" s="28"/>
      <c r="AI65" s="28"/>
    </row>
    <row r="66" spans="1:35" ht="15" customHeight="1">
      <c r="A66" s="3"/>
      <c r="B66" s="352">
        <f>IF('BIABacus PR 1.3U'!ES114&gt;0,'BIABacus PR 1.3U'!ES114,"")</f>
      </c>
      <c r="C66" s="352"/>
      <c r="D66" s="352"/>
      <c r="E66" s="352"/>
      <c r="F66" s="352"/>
      <c r="H66" s="350">
        <f>IF('BIABacus PR 1.3U'!EY114&gt;0,'BIABacus PR 1.3U'!EY114,"")</f>
      </c>
      <c r="I66" s="351"/>
      <c r="J66" s="351"/>
      <c r="K66" s="351"/>
      <c r="L66" s="351"/>
      <c r="M66" s="351"/>
      <c r="N66" s="351"/>
      <c r="O66" s="351"/>
      <c r="P66" s="351"/>
      <c r="Q66" s="351"/>
      <c r="R66" s="351"/>
      <c r="S66" s="351"/>
      <c r="T66" s="351"/>
      <c r="U66" s="351"/>
      <c r="V66" s="351"/>
      <c r="W66" s="351"/>
      <c r="X66" s="351"/>
      <c r="Y66" s="351"/>
      <c r="Z66" s="351"/>
      <c r="AA66" s="351"/>
      <c r="AB66" s="351"/>
      <c r="AC66" s="351"/>
      <c r="AD66" s="3"/>
      <c r="AE66" s="346">
        <f>IF('BIABacus PR 1.3U'!FV114&gt;0,'BIABacus PR 1.3U'!FV114,"")</f>
      </c>
      <c r="AF66" s="346"/>
      <c r="AG66" s="346"/>
      <c r="AH66" s="346"/>
      <c r="AI66" s="346"/>
    </row>
    <row r="67" spans="1:35" ht="15" customHeight="1">
      <c r="A67" s="28"/>
      <c r="B67" s="28"/>
      <c r="C67" s="28"/>
      <c r="D67" s="28"/>
      <c r="E67" s="28"/>
      <c r="F67" s="28"/>
      <c r="G67" s="28"/>
      <c r="H67" s="3"/>
      <c r="I67" s="3"/>
      <c r="J67" s="3"/>
      <c r="K67" s="3"/>
      <c r="L67" s="3"/>
      <c r="M67" s="3"/>
      <c r="N67" s="3"/>
      <c r="O67" s="3"/>
      <c r="P67" s="3"/>
      <c r="Q67" s="3"/>
      <c r="R67" s="3"/>
      <c r="S67" s="3"/>
      <c r="T67" s="3"/>
      <c r="U67" s="3"/>
      <c r="V67" s="3"/>
      <c r="W67" s="3"/>
      <c r="X67" s="3"/>
      <c r="Y67" s="3"/>
      <c r="Z67" s="3"/>
      <c r="AA67" s="3"/>
      <c r="AB67" s="3"/>
      <c r="AC67" s="3"/>
      <c r="AD67" s="3"/>
      <c r="AE67" s="28"/>
      <c r="AG67" s="28"/>
      <c r="AH67" s="28"/>
      <c r="AI67" s="28"/>
    </row>
    <row r="68" spans="1:35" ht="15" customHeight="1">
      <c r="A68" s="3"/>
      <c r="B68" s="352">
        <f>IF('BIABacus PR 1.3U'!ES117&gt;0,'BIABacus PR 1.3U'!ES117,"")</f>
      </c>
      <c r="C68" s="352"/>
      <c r="D68" s="352"/>
      <c r="E68" s="352"/>
      <c r="F68" s="352"/>
      <c r="H68" s="350">
        <f>IF('BIABacus PR 1.3U'!EY117&gt;0,'BIABacus PR 1.3U'!EY117,"")</f>
      </c>
      <c r="I68" s="351"/>
      <c r="J68" s="351"/>
      <c r="K68" s="351"/>
      <c r="L68" s="351"/>
      <c r="M68" s="351"/>
      <c r="N68" s="351"/>
      <c r="O68" s="351"/>
      <c r="P68" s="351"/>
      <c r="Q68" s="351"/>
      <c r="R68" s="351"/>
      <c r="S68" s="351"/>
      <c r="T68" s="351"/>
      <c r="U68" s="351"/>
      <c r="V68" s="351"/>
      <c r="W68" s="351"/>
      <c r="X68" s="351"/>
      <c r="Y68" s="351"/>
      <c r="Z68" s="351"/>
      <c r="AA68" s="351"/>
      <c r="AB68" s="351"/>
      <c r="AC68" s="351"/>
      <c r="AD68" s="3"/>
      <c r="AE68" s="346">
        <f>IF('BIABacus PR 1.3U'!FV117&gt;0,'BIABacus PR 1.3U'!FV117,"")</f>
      </c>
      <c r="AF68" s="346"/>
      <c r="AG68" s="346"/>
      <c r="AH68" s="346"/>
      <c r="AI68" s="346"/>
    </row>
    <row r="69" spans="1:35" ht="15" customHeight="1">
      <c r="A69" s="28"/>
      <c r="B69" s="28"/>
      <c r="C69" s="28"/>
      <c r="D69" s="28"/>
      <c r="E69" s="28"/>
      <c r="F69" s="28"/>
      <c r="G69" s="28"/>
      <c r="H69" s="3"/>
      <c r="I69" s="3"/>
      <c r="J69" s="3"/>
      <c r="K69" s="3"/>
      <c r="L69" s="3"/>
      <c r="M69" s="3"/>
      <c r="N69" s="3"/>
      <c r="O69" s="3"/>
      <c r="P69" s="3"/>
      <c r="Q69" s="3"/>
      <c r="R69" s="3"/>
      <c r="S69" s="3"/>
      <c r="T69" s="3"/>
      <c r="U69" s="3"/>
      <c r="V69" s="3"/>
      <c r="W69" s="3"/>
      <c r="X69" s="3"/>
      <c r="Y69" s="3"/>
      <c r="Z69" s="3"/>
      <c r="AA69" s="3"/>
      <c r="AB69" s="3"/>
      <c r="AC69" s="3"/>
      <c r="AD69" s="3"/>
      <c r="AE69" s="28"/>
      <c r="AG69" s="28"/>
      <c r="AH69" s="28"/>
      <c r="AI69" s="28"/>
    </row>
    <row r="70" spans="1:35" ht="15" customHeight="1">
      <c r="A70" s="3"/>
      <c r="B70" s="352">
        <f>IF('BIABacus PR 1.3U'!ES120&gt;0,'BIABacus PR 1.3U'!ES120,"")</f>
      </c>
      <c r="C70" s="352"/>
      <c r="D70" s="352"/>
      <c r="E70" s="352"/>
      <c r="F70" s="352"/>
      <c r="H70" s="350">
        <f>IF('BIABacus PR 1.3U'!EY120&gt;0,'BIABacus PR 1.3U'!EY120,"")</f>
      </c>
      <c r="I70" s="351"/>
      <c r="J70" s="351"/>
      <c r="K70" s="351"/>
      <c r="L70" s="351"/>
      <c r="M70" s="351"/>
      <c r="N70" s="351"/>
      <c r="O70" s="351"/>
      <c r="P70" s="351"/>
      <c r="Q70" s="351"/>
      <c r="R70" s="351"/>
      <c r="S70" s="351"/>
      <c r="T70" s="351"/>
      <c r="U70" s="351"/>
      <c r="V70" s="351"/>
      <c r="W70" s="351"/>
      <c r="X70" s="351"/>
      <c r="Y70" s="351"/>
      <c r="Z70" s="351"/>
      <c r="AA70" s="351"/>
      <c r="AB70" s="351"/>
      <c r="AC70" s="351"/>
      <c r="AD70" s="3"/>
      <c r="AE70" s="346">
        <f>IF('BIABacus PR 1.3U'!FV120&gt;0,'BIABacus PR 1.3U'!FV120,"")</f>
      </c>
      <c r="AF70" s="346"/>
      <c r="AG70" s="346"/>
      <c r="AH70" s="346"/>
      <c r="AI70" s="346"/>
    </row>
    <row r="71" spans="1:35" ht="15" customHeight="1">
      <c r="A71" s="28"/>
      <c r="B71" s="28"/>
      <c r="C71" s="28"/>
      <c r="D71" s="28"/>
      <c r="E71" s="28"/>
      <c r="F71" s="28"/>
      <c r="G71" s="28"/>
      <c r="H71" s="3"/>
      <c r="I71" s="3"/>
      <c r="J71" s="3"/>
      <c r="K71" s="3"/>
      <c r="L71" s="3"/>
      <c r="M71" s="3"/>
      <c r="N71" s="3"/>
      <c r="O71" s="3"/>
      <c r="P71" s="3"/>
      <c r="Q71" s="3"/>
      <c r="R71" s="3"/>
      <c r="S71" s="3"/>
      <c r="T71" s="3"/>
      <c r="U71" s="3"/>
      <c r="V71" s="3"/>
      <c r="W71" s="3"/>
      <c r="X71" s="3"/>
      <c r="Y71" s="3"/>
      <c r="Z71" s="3"/>
      <c r="AA71" s="3"/>
      <c r="AB71" s="3"/>
      <c r="AC71" s="3"/>
      <c r="AD71" s="3"/>
      <c r="AE71" s="28"/>
      <c r="AG71" s="28"/>
      <c r="AH71" s="28"/>
      <c r="AI71" s="28"/>
    </row>
    <row r="72" spans="1:35" ht="15" customHeight="1">
      <c r="A72" s="3"/>
      <c r="B72" s="352">
        <f>IF('BIABacus PR 1.3U'!ES123&gt;0,'BIABacus PR 1.3U'!ES123,"")</f>
      </c>
      <c r="C72" s="352"/>
      <c r="D72" s="352"/>
      <c r="E72" s="352"/>
      <c r="F72" s="352"/>
      <c r="H72" s="350">
        <f>IF('BIABacus PR 1.3U'!EY123&gt;0,'BIABacus PR 1.3U'!EY123,"")</f>
      </c>
      <c r="I72" s="351"/>
      <c r="J72" s="351"/>
      <c r="K72" s="351"/>
      <c r="L72" s="351"/>
      <c r="M72" s="351"/>
      <c r="N72" s="351"/>
      <c r="O72" s="351"/>
      <c r="P72" s="351"/>
      <c r="Q72" s="351"/>
      <c r="R72" s="351"/>
      <c r="S72" s="351"/>
      <c r="T72" s="351"/>
      <c r="U72" s="351"/>
      <c r="V72" s="351"/>
      <c r="W72" s="351"/>
      <c r="X72" s="351"/>
      <c r="Y72" s="351"/>
      <c r="Z72" s="351"/>
      <c r="AA72" s="351"/>
      <c r="AB72" s="351"/>
      <c r="AC72" s="351"/>
      <c r="AD72" s="3"/>
      <c r="AE72" s="346">
        <f>IF('BIABacus PR 1.3U'!FV123&gt;0,'BIABacus PR 1.3U'!FV123,"")</f>
      </c>
      <c r="AF72" s="346"/>
      <c r="AG72" s="346"/>
      <c r="AH72" s="346"/>
      <c r="AI72" s="346"/>
    </row>
    <row r="73" spans="1:35" ht="15" customHeight="1">
      <c r="A73" s="28"/>
      <c r="B73" s="28"/>
      <c r="C73" s="28"/>
      <c r="D73" s="28"/>
      <c r="E73" s="28"/>
      <c r="F73" s="28"/>
      <c r="G73" s="28"/>
      <c r="H73" s="3"/>
      <c r="I73" s="3"/>
      <c r="J73" s="3"/>
      <c r="K73" s="3"/>
      <c r="L73" s="3"/>
      <c r="M73" s="3"/>
      <c r="N73" s="3"/>
      <c r="O73" s="3"/>
      <c r="P73" s="3"/>
      <c r="Q73" s="3"/>
      <c r="R73" s="3"/>
      <c r="S73" s="3"/>
      <c r="T73" s="3"/>
      <c r="U73" s="3"/>
      <c r="V73" s="3"/>
      <c r="W73" s="3"/>
      <c r="X73" s="3"/>
      <c r="Y73" s="3"/>
      <c r="Z73" s="3"/>
      <c r="AA73" s="3"/>
      <c r="AB73" s="3"/>
      <c r="AC73" s="3"/>
      <c r="AD73" s="3"/>
      <c r="AE73" s="28"/>
      <c r="AG73" s="28"/>
      <c r="AH73" s="28"/>
      <c r="AI73" s="28"/>
    </row>
    <row r="74" spans="1:35" ht="15" customHeight="1">
      <c r="A74" s="3"/>
      <c r="B74" s="352">
        <f>IF('BIABacus PR 1.3U'!ES126&gt;0,'BIABacus PR 1.3U'!ES126,"")</f>
      </c>
      <c r="C74" s="352"/>
      <c r="D74" s="352"/>
      <c r="E74" s="352"/>
      <c r="F74" s="352"/>
      <c r="H74" s="350">
        <f>IF('BIABacus PR 1.3U'!EY126&gt;0,'BIABacus PR 1.3U'!EY126,"")</f>
      </c>
      <c r="I74" s="351"/>
      <c r="J74" s="351"/>
      <c r="K74" s="351"/>
      <c r="L74" s="351"/>
      <c r="M74" s="351"/>
      <c r="N74" s="351"/>
      <c r="O74" s="351"/>
      <c r="P74" s="351"/>
      <c r="Q74" s="351"/>
      <c r="R74" s="351"/>
      <c r="S74" s="351"/>
      <c r="T74" s="351"/>
      <c r="U74" s="351"/>
      <c r="V74" s="351"/>
      <c r="W74" s="351"/>
      <c r="X74" s="351"/>
      <c r="Y74" s="351"/>
      <c r="Z74" s="351"/>
      <c r="AA74" s="351"/>
      <c r="AB74" s="351"/>
      <c r="AC74" s="351"/>
      <c r="AD74" s="3"/>
      <c r="AE74" s="346">
        <f>IF('BIABacus PR 1.3U'!FV126&gt;0,'BIABacus PR 1.3U'!FV126,"")</f>
      </c>
      <c r="AF74" s="346"/>
      <c r="AG74" s="346"/>
      <c r="AH74" s="346"/>
      <c r="AI74" s="346"/>
    </row>
    <row r="75" spans="1:35" ht="15" customHeight="1">
      <c r="A75" s="28"/>
      <c r="B75" s="28"/>
      <c r="C75" s="28"/>
      <c r="D75" s="28"/>
      <c r="E75" s="28"/>
      <c r="F75" s="28"/>
      <c r="G75" s="28"/>
      <c r="H75" s="3"/>
      <c r="I75" s="3"/>
      <c r="J75" s="3"/>
      <c r="K75" s="3"/>
      <c r="L75" s="3"/>
      <c r="M75" s="3"/>
      <c r="N75" s="3"/>
      <c r="O75" s="3"/>
      <c r="P75" s="3"/>
      <c r="Q75" s="3"/>
      <c r="R75" s="3"/>
      <c r="S75" s="3"/>
      <c r="T75" s="3"/>
      <c r="U75" s="3"/>
      <c r="V75" s="3"/>
      <c r="W75" s="3"/>
      <c r="X75" s="3"/>
      <c r="Y75" s="3"/>
      <c r="Z75" s="3"/>
      <c r="AA75" s="3"/>
      <c r="AB75" s="3"/>
      <c r="AC75" s="3"/>
      <c r="AD75" s="3"/>
      <c r="AE75" s="28"/>
      <c r="AG75" s="28"/>
      <c r="AH75" s="28"/>
      <c r="AI75" s="28"/>
    </row>
    <row r="76" spans="1:35" ht="15" customHeight="1">
      <c r="A76" s="3"/>
      <c r="B76" s="352">
        <f>IF('BIABacus PR 1.3U'!ES129&gt;0,'BIABacus PR 1.3U'!ES129,"")</f>
      </c>
      <c r="C76" s="352"/>
      <c r="D76" s="352"/>
      <c r="E76" s="352"/>
      <c r="F76" s="352"/>
      <c r="H76" s="350">
        <f>IF('BIABacus PR 1.3U'!EY129&gt;0,'BIABacus PR 1.3U'!EY129,"")</f>
      </c>
      <c r="I76" s="351"/>
      <c r="J76" s="351"/>
      <c r="K76" s="351"/>
      <c r="L76" s="351"/>
      <c r="M76" s="351"/>
      <c r="N76" s="351"/>
      <c r="O76" s="351"/>
      <c r="P76" s="351"/>
      <c r="Q76" s="351"/>
      <c r="R76" s="351"/>
      <c r="S76" s="351"/>
      <c r="T76" s="351"/>
      <c r="U76" s="351"/>
      <c r="V76" s="351"/>
      <c r="W76" s="351"/>
      <c r="X76" s="351"/>
      <c r="Y76" s="351"/>
      <c r="Z76" s="351"/>
      <c r="AA76" s="351"/>
      <c r="AB76" s="351"/>
      <c r="AC76" s="351"/>
      <c r="AD76" s="3"/>
      <c r="AE76" s="346">
        <f>IF('BIABacus PR 1.3U'!FV129&gt;0,'BIABacus PR 1.3U'!FV129,"")</f>
      </c>
      <c r="AF76" s="346"/>
      <c r="AG76" s="346"/>
      <c r="AH76" s="346"/>
      <c r="AI76" s="346"/>
    </row>
    <row r="77" spans="2:6" ht="15" customHeight="1">
      <c r="B77" s="116"/>
      <c r="C77" s="116"/>
      <c r="D77" s="116"/>
      <c r="E77" s="116"/>
      <c r="F77" s="116"/>
    </row>
    <row r="78" spans="1:35" ht="15" customHeight="1">
      <c r="A78" s="3"/>
      <c r="B78" s="352">
        <f>IF('BIABacus PR 1.3U'!ES132&gt;0,'BIABacus PR 1.3U'!ES132,"")</f>
      </c>
      <c r="C78" s="352"/>
      <c r="D78" s="352"/>
      <c r="E78" s="352"/>
      <c r="F78" s="352"/>
      <c r="H78" s="350">
        <f>IF('BIABacus PR 1.3U'!EY132&gt;0,'BIABacus PR 1.3U'!EY132,"")</f>
      </c>
      <c r="I78" s="351"/>
      <c r="J78" s="351"/>
      <c r="K78" s="351"/>
      <c r="L78" s="351"/>
      <c r="M78" s="351"/>
      <c r="N78" s="351"/>
      <c r="O78" s="351"/>
      <c r="P78" s="351"/>
      <c r="Q78" s="351"/>
      <c r="R78" s="351"/>
      <c r="S78" s="351"/>
      <c r="T78" s="351"/>
      <c r="U78" s="351"/>
      <c r="V78" s="351"/>
      <c r="W78" s="351"/>
      <c r="X78" s="351"/>
      <c r="Y78" s="351"/>
      <c r="Z78" s="351"/>
      <c r="AA78" s="351"/>
      <c r="AB78" s="351"/>
      <c r="AC78" s="351"/>
      <c r="AD78" s="3"/>
      <c r="AE78" s="346">
        <f>IF('BIABacus PR 1.3U'!FV132&gt;0,'BIABacus PR 1.3U'!FV132,"")</f>
      </c>
      <c r="AF78" s="346"/>
      <c r="AG78" s="346"/>
      <c r="AH78" s="346"/>
      <c r="AI78" s="346"/>
    </row>
    <row r="79" spans="2:6" ht="15" customHeight="1">
      <c r="B79" s="116"/>
      <c r="C79" s="116"/>
      <c r="D79" s="116"/>
      <c r="E79" s="116"/>
      <c r="F79" s="116"/>
    </row>
    <row r="80" spans="1:35" ht="15">
      <c r="A80" s="3"/>
      <c r="B80" s="352">
        <f>IF('BIABacus PR 1.3U'!ES135&gt;0,'BIABacus PR 1.3U'!ES135,"")</f>
      </c>
      <c r="C80" s="352"/>
      <c r="D80" s="352"/>
      <c r="E80" s="352"/>
      <c r="F80" s="352"/>
      <c r="H80" s="350">
        <f>IF('BIABacus PR 1.3U'!EY135&gt;0,'BIABacus PR 1.3U'!EY135,"")</f>
      </c>
      <c r="I80" s="351"/>
      <c r="J80" s="351"/>
      <c r="K80" s="351"/>
      <c r="L80" s="351"/>
      <c r="M80" s="351"/>
      <c r="N80" s="351"/>
      <c r="O80" s="351"/>
      <c r="P80" s="351"/>
      <c r="Q80" s="351"/>
      <c r="R80" s="351"/>
      <c r="S80" s="351"/>
      <c r="T80" s="351"/>
      <c r="U80" s="351"/>
      <c r="V80" s="351"/>
      <c r="W80" s="351"/>
      <c r="X80" s="351"/>
      <c r="Y80" s="351"/>
      <c r="Z80" s="351"/>
      <c r="AA80" s="351"/>
      <c r="AB80" s="351"/>
      <c r="AC80" s="351"/>
      <c r="AD80" s="3"/>
      <c r="AE80" s="346">
        <f>IF('BIABacus PR 1.3U'!FV135&gt;0,'BIABacus PR 1.3U'!FV135,"")</f>
      </c>
      <c r="AF80" s="346"/>
      <c r="AG80" s="346"/>
      <c r="AH80" s="346"/>
      <c r="AI80" s="346"/>
    </row>
    <row r="81" spans="1:35" ht="15">
      <c r="A81" s="3"/>
      <c r="B81" s="352"/>
      <c r="C81" s="352"/>
      <c r="D81" s="352"/>
      <c r="E81" s="352"/>
      <c r="F81" s="352"/>
      <c r="H81" s="350"/>
      <c r="I81" s="351"/>
      <c r="J81" s="351"/>
      <c r="K81" s="351"/>
      <c r="L81" s="351"/>
      <c r="M81" s="351"/>
      <c r="N81" s="351"/>
      <c r="O81" s="351"/>
      <c r="P81" s="351"/>
      <c r="Q81" s="351"/>
      <c r="R81" s="351"/>
      <c r="S81" s="351"/>
      <c r="T81" s="351"/>
      <c r="U81" s="351"/>
      <c r="V81" s="351"/>
      <c r="W81" s="351"/>
      <c r="X81" s="351"/>
      <c r="Y81" s="351"/>
      <c r="Z81" s="351"/>
      <c r="AA81" s="351"/>
      <c r="AB81" s="351"/>
      <c r="AC81" s="351"/>
      <c r="AD81" s="3"/>
      <c r="AE81" s="346"/>
      <c r="AF81" s="346"/>
      <c r="AG81" s="346"/>
      <c r="AH81" s="346"/>
      <c r="AI81" s="346"/>
    </row>
    <row r="82" spans="1:35" ht="15">
      <c r="A82" s="3"/>
      <c r="B82" s="352">
        <f>IF('BIABacus PR 1.3U'!ES138&gt;0,'BIABacus PR 1.3U'!ES138,"")</f>
      </c>
      <c r="C82" s="352"/>
      <c r="D82" s="352"/>
      <c r="E82" s="352"/>
      <c r="F82" s="352"/>
      <c r="H82" s="350">
        <f>IF('BIABacus PR 1.3U'!EY138&gt;0,'BIABacus PR 1.3U'!EY138,"")</f>
      </c>
      <c r="I82" s="351"/>
      <c r="J82" s="351"/>
      <c r="K82" s="351"/>
      <c r="L82" s="351"/>
      <c r="M82" s="351"/>
      <c r="N82" s="351"/>
      <c r="O82" s="351"/>
      <c r="P82" s="351"/>
      <c r="Q82" s="351"/>
      <c r="R82" s="351"/>
      <c r="S82" s="351"/>
      <c r="T82" s="351"/>
      <c r="U82" s="351"/>
      <c r="V82" s="351"/>
      <c r="W82" s="351"/>
      <c r="X82" s="351"/>
      <c r="Y82" s="351"/>
      <c r="Z82" s="351"/>
      <c r="AA82" s="351"/>
      <c r="AB82" s="351"/>
      <c r="AC82" s="351"/>
      <c r="AD82" s="3"/>
      <c r="AE82" s="346">
        <f>IF('BIABacus PR 1.3U'!FV138&gt;0,'BIABacus PR 1.3U'!FV138,"")</f>
      </c>
      <c r="AF82" s="346"/>
      <c r="AG82" s="346"/>
      <c r="AH82" s="346"/>
      <c r="AI82" s="346"/>
    </row>
    <row r="83" spans="1:35" ht="15">
      <c r="A83" s="3"/>
      <c r="B83" s="352"/>
      <c r="C83" s="352"/>
      <c r="D83" s="352"/>
      <c r="E83" s="352"/>
      <c r="F83" s="352"/>
      <c r="H83" s="350"/>
      <c r="I83" s="351"/>
      <c r="J83" s="351"/>
      <c r="K83" s="351"/>
      <c r="L83" s="351"/>
      <c r="M83" s="351"/>
      <c r="N83" s="351"/>
      <c r="O83" s="351"/>
      <c r="P83" s="351"/>
      <c r="Q83" s="351"/>
      <c r="R83" s="351"/>
      <c r="S83" s="351"/>
      <c r="T83" s="351"/>
      <c r="U83" s="351"/>
      <c r="V83" s="351"/>
      <c r="W83" s="351"/>
      <c r="X83" s="351"/>
      <c r="Y83" s="351"/>
      <c r="Z83" s="351"/>
      <c r="AA83" s="351"/>
      <c r="AB83" s="351"/>
      <c r="AC83" s="351"/>
      <c r="AD83" s="3"/>
      <c r="AE83" s="346"/>
      <c r="AF83" s="346"/>
      <c r="AG83" s="346"/>
      <c r="AH83" s="346"/>
      <c r="AI83" s="346"/>
    </row>
    <row r="84" spans="1:35" ht="15">
      <c r="A84" s="3"/>
      <c r="B84" s="352">
        <f>IF('BIABacus PR 1.3U'!ES141&gt;0,'BIABacus PR 1.3U'!ES141,"")</f>
      </c>
      <c r="C84" s="352"/>
      <c r="D84" s="352"/>
      <c r="E84" s="352"/>
      <c r="F84" s="352"/>
      <c r="H84" s="350">
        <f>IF('BIABacus PR 1.3U'!EY141&gt;0,'BIABacus PR 1.3U'!EY141,"")</f>
      </c>
      <c r="I84" s="351"/>
      <c r="J84" s="351"/>
      <c r="K84" s="351"/>
      <c r="L84" s="351"/>
      <c r="M84" s="351"/>
      <c r="N84" s="351"/>
      <c r="O84" s="351"/>
      <c r="P84" s="351"/>
      <c r="Q84" s="351"/>
      <c r="R84" s="351"/>
      <c r="S84" s="351"/>
      <c r="T84" s="351"/>
      <c r="U84" s="351"/>
      <c r="V84" s="351"/>
      <c r="W84" s="351"/>
      <c r="X84" s="351"/>
      <c r="Y84" s="351"/>
      <c r="Z84" s="351"/>
      <c r="AA84" s="351"/>
      <c r="AB84" s="351"/>
      <c r="AC84" s="351"/>
      <c r="AD84" s="3"/>
      <c r="AE84" s="346">
        <f>IF('BIABacus PR 1.3U'!FV141&gt;0,'BIABacus PR 1.3U'!FV141,"")</f>
      </c>
      <c r="AF84" s="346"/>
      <c r="AG84" s="346"/>
      <c r="AH84" s="346"/>
      <c r="AI84" s="346"/>
    </row>
    <row r="85" spans="1:35" ht="15">
      <c r="A85" s="3"/>
      <c r="B85" s="352"/>
      <c r="C85" s="352"/>
      <c r="D85" s="352"/>
      <c r="E85" s="352"/>
      <c r="F85" s="352"/>
      <c r="H85" s="350"/>
      <c r="I85" s="351"/>
      <c r="J85" s="351"/>
      <c r="K85" s="351"/>
      <c r="L85" s="351"/>
      <c r="M85" s="351"/>
      <c r="N85" s="351"/>
      <c r="O85" s="351"/>
      <c r="P85" s="351"/>
      <c r="Q85" s="351"/>
      <c r="R85" s="351"/>
      <c r="S85" s="351"/>
      <c r="T85" s="351"/>
      <c r="U85" s="351"/>
      <c r="V85" s="351"/>
      <c r="W85" s="351"/>
      <c r="X85" s="351"/>
      <c r="Y85" s="351"/>
      <c r="Z85" s="351"/>
      <c r="AA85" s="351"/>
      <c r="AB85" s="351"/>
      <c r="AC85" s="351"/>
      <c r="AD85" s="3"/>
      <c r="AE85" s="346"/>
      <c r="AF85" s="346"/>
      <c r="AG85" s="346"/>
      <c r="AH85" s="346"/>
      <c r="AI85" s="346"/>
    </row>
    <row r="86" spans="1:35" ht="15">
      <c r="A86" s="3"/>
      <c r="B86" s="352">
        <f>IF('BIABacus PR 1.3U'!ES144&gt;0,'BIABacus PR 1.3U'!ES144,"")</f>
      </c>
      <c r="C86" s="352"/>
      <c r="D86" s="352"/>
      <c r="E86" s="352"/>
      <c r="F86" s="352"/>
      <c r="H86" s="350">
        <f>IF('BIABacus PR 1.3U'!EY144&gt;0,'BIABacus PR 1.3U'!EY144,"")</f>
      </c>
      <c r="I86" s="351"/>
      <c r="J86" s="351"/>
      <c r="K86" s="351"/>
      <c r="L86" s="351"/>
      <c r="M86" s="351"/>
      <c r="N86" s="351"/>
      <c r="O86" s="351"/>
      <c r="P86" s="351"/>
      <c r="Q86" s="351"/>
      <c r="R86" s="351"/>
      <c r="S86" s="351"/>
      <c r="T86" s="351"/>
      <c r="U86" s="351"/>
      <c r="V86" s="351"/>
      <c r="W86" s="351"/>
      <c r="X86" s="351"/>
      <c r="Y86" s="351"/>
      <c r="Z86" s="351"/>
      <c r="AA86" s="351"/>
      <c r="AB86" s="351"/>
      <c r="AC86" s="351"/>
      <c r="AD86" s="3"/>
      <c r="AE86" s="346">
        <f>IF('BIABacus PR 1.3U'!FV144&gt;0,'BIABacus PR 1.3U'!FV144,"")</f>
      </c>
      <c r="AF86" s="346"/>
      <c r="AG86" s="346"/>
      <c r="AH86" s="346"/>
      <c r="AI86" s="346"/>
    </row>
    <row r="87" spans="1:35" ht="15">
      <c r="A87" s="3"/>
      <c r="B87" s="352"/>
      <c r="C87" s="352"/>
      <c r="D87" s="352"/>
      <c r="E87" s="352"/>
      <c r="F87" s="352"/>
      <c r="H87" s="350"/>
      <c r="I87" s="351"/>
      <c r="J87" s="351"/>
      <c r="K87" s="351"/>
      <c r="L87" s="351"/>
      <c r="M87" s="351"/>
      <c r="N87" s="351"/>
      <c r="O87" s="351"/>
      <c r="P87" s="351"/>
      <c r="Q87" s="351"/>
      <c r="R87" s="351"/>
      <c r="S87" s="351"/>
      <c r="T87" s="351"/>
      <c r="U87" s="351"/>
      <c r="V87" s="351"/>
      <c r="W87" s="351"/>
      <c r="X87" s="351"/>
      <c r="Y87" s="351"/>
      <c r="Z87" s="351"/>
      <c r="AA87" s="351"/>
      <c r="AB87" s="351"/>
      <c r="AC87" s="351"/>
      <c r="AD87" s="3"/>
      <c r="AE87" s="346"/>
      <c r="AF87" s="346"/>
      <c r="AG87" s="346"/>
      <c r="AH87" s="346"/>
      <c r="AI87" s="346"/>
    </row>
    <row r="88" spans="1:35" ht="15">
      <c r="A88" s="3"/>
      <c r="B88" s="352">
        <f>IF('BIABacus PR 1.3U'!ES147&gt;0,'BIABacus PR 1.3U'!ES147,"")</f>
      </c>
      <c r="C88" s="352"/>
      <c r="D88" s="352"/>
      <c r="E88" s="352"/>
      <c r="F88" s="352"/>
      <c r="H88" s="350">
        <f>IF('BIABacus PR 1.3U'!EY147&gt;0,'BIABacus PR 1.3U'!EY147,"")</f>
      </c>
      <c r="I88" s="351"/>
      <c r="J88" s="351"/>
      <c r="K88" s="351"/>
      <c r="L88" s="351"/>
      <c r="M88" s="351"/>
      <c r="N88" s="351"/>
      <c r="O88" s="351"/>
      <c r="P88" s="351"/>
      <c r="Q88" s="351"/>
      <c r="R88" s="351"/>
      <c r="S88" s="351"/>
      <c r="T88" s="351"/>
      <c r="U88" s="351"/>
      <c r="V88" s="351"/>
      <c r="W88" s="351"/>
      <c r="X88" s="351"/>
      <c r="Y88" s="351"/>
      <c r="Z88" s="351"/>
      <c r="AA88" s="351"/>
      <c r="AB88" s="351"/>
      <c r="AC88" s="351"/>
      <c r="AD88" s="3"/>
      <c r="AE88" s="346">
        <f>IF('BIABacus PR 1.3U'!FV147&gt;0,'BIABacus PR 1.3U'!FV147,"")</f>
      </c>
      <c r="AF88" s="346"/>
      <c r="AG88" s="346"/>
      <c r="AH88" s="346"/>
      <c r="AI88" s="346"/>
    </row>
    <row r="89" spans="1:35" ht="15">
      <c r="A89" s="3"/>
      <c r="B89" s="352"/>
      <c r="C89" s="352"/>
      <c r="D89" s="352"/>
      <c r="E89" s="352"/>
      <c r="F89" s="352"/>
      <c r="H89" s="350"/>
      <c r="I89" s="351"/>
      <c r="J89" s="351"/>
      <c r="K89" s="351"/>
      <c r="L89" s="351"/>
      <c r="M89" s="351"/>
      <c r="N89" s="351"/>
      <c r="O89" s="351"/>
      <c r="P89" s="351"/>
      <c r="Q89" s="351"/>
      <c r="R89" s="351"/>
      <c r="S89" s="351"/>
      <c r="T89" s="351"/>
      <c r="U89" s="351"/>
      <c r="V89" s="351"/>
      <c r="W89" s="351"/>
      <c r="X89" s="351"/>
      <c r="Y89" s="351"/>
      <c r="Z89" s="351"/>
      <c r="AA89" s="351"/>
      <c r="AB89" s="351"/>
      <c r="AC89" s="351"/>
      <c r="AD89" s="3"/>
      <c r="AE89" s="346"/>
      <c r="AF89" s="346"/>
      <c r="AG89" s="346"/>
      <c r="AH89" s="346"/>
      <c r="AI89" s="346"/>
    </row>
    <row r="90" spans="1:35" ht="15">
      <c r="A90" s="3"/>
      <c r="B90" s="352">
        <f>IF('BIABacus PR 1.3U'!ES150&gt;0,'BIABacus PR 1.3U'!ES150,"")</f>
      </c>
      <c r="C90" s="352"/>
      <c r="D90" s="352"/>
      <c r="E90" s="352"/>
      <c r="F90" s="352"/>
      <c r="H90" s="350">
        <f>IF('BIABacus PR 1.3U'!EY150&gt;0,'BIABacus PR 1.3U'!EY150,"")</f>
      </c>
      <c r="I90" s="351"/>
      <c r="J90" s="351"/>
      <c r="K90" s="351"/>
      <c r="L90" s="351"/>
      <c r="M90" s="351"/>
      <c r="N90" s="351"/>
      <c r="O90" s="351"/>
      <c r="P90" s="351"/>
      <c r="Q90" s="351"/>
      <c r="R90" s="351"/>
      <c r="S90" s="351"/>
      <c r="T90" s="351"/>
      <c r="U90" s="351"/>
      <c r="V90" s="351"/>
      <c r="W90" s="351"/>
      <c r="X90" s="351"/>
      <c r="Y90" s="351"/>
      <c r="Z90" s="351"/>
      <c r="AA90" s="351"/>
      <c r="AB90" s="351"/>
      <c r="AC90" s="351"/>
      <c r="AD90" s="3"/>
      <c r="AE90" s="346">
        <f>IF('BIABacus PR 1.3U'!FV150&gt;0,'BIABacus PR 1.3U'!FV150,"")</f>
      </c>
      <c r="AF90" s="346"/>
      <c r="AG90" s="346"/>
      <c r="AH90" s="346"/>
      <c r="AI90" s="346"/>
    </row>
    <row r="91" spans="1:35" ht="15">
      <c r="A91" s="3"/>
      <c r="B91" s="352"/>
      <c r="C91" s="352"/>
      <c r="D91" s="352"/>
      <c r="E91" s="352"/>
      <c r="F91" s="352"/>
      <c r="H91" s="350"/>
      <c r="I91" s="351"/>
      <c r="J91" s="351"/>
      <c r="K91" s="351"/>
      <c r="L91" s="351"/>
      <c r="M91" s="351"/>
      <c r="N91" s="351"/>
      <c r="O91" s="351"/>
      <c r="P91" s="351"/>
      <c r="Q91" s="351"/>
      <c r="R91" s="351"/>
      <c r="S91" s="351"/>
      <c r="T91" s="351"/>
      <c r="U91" s="351"/>
      <c r="V91" s="351"/>
      <c r="W91" s="351"/>
      <c r="X91" s="351"/>
      <c r="Y91" s="351"/>
      <c r="Z91" s="351"/>
      <c r="AA91" s="351"/>
      <c r="AB91" s="351"/>
      <c r="AC91" s="351"/>
      <c r="AD91" s="3"/>
      <c r="AE91" s="346"/>
      <c r="AF91" s="346"/>
      <c r="AG91" s="346"/>
      <c r="AH91" s="346"/>
      <c r="AI91" s="346"/>
    </row>
    <row r="92" spans="1:35" ht="15">
      <c r="A92" s="3"/>
      <c r="B92" s="352">
        <f>IF('BIABacus PR 1.3U'!ES153&gt;0,'BIABacus PR 1.3U'!ES153,"")</f>
      </c>
      <c r="C92" s="352"/>
      <c r="D92" s="352"/>
      <c r="E92" s="352"/>
      <c r="F92" s="352"/>
      <c r="H92" s="350">
        <f>IF('BIABacus PR 1.3U'!EY153&gt;0,'BIABacus PR 1.3U'!EY153,"")</f>
      </c>
      <c r="I92" s="351"/>
      <c r="J92" s="351"/>
      <c r="K92" s="351"/>
      <c r="L92" s="351"/>
      <c r="M92" s="351"/>
      <c r="N92" s="351"/>
      <c r="O92" s="351"/>
      <c r="P92" s="351"/>
      <c r="Q92" s="351"/>
      <c r="R92" s="351"/>
      <c r="S92" s="351"/>
      <c r="T92" s="351"/>
      <c r="U92" s="351"/>
      <c r="V92" s="351"/>
      <c r="W92" s="351"/>
      <c r="X92" s="351"/>
      <c r="Y92" s="351"/>
      <c r="Z92" s="351"/>
      <c r="AA92" s="351"/>
      <c r="AB92" s="351"/>
      <c r="AC92" s="351"/>
      <c r="AD92" s="3"/>
      <c r="AE92" s="346">
        <f>IF('BIABacus PR 1.3U'!FV153&gt;0,'BIABacus PR 1.3U'!FV153,"")</f>
      </c>
      <c r="AF92" s="346"/>
      <c r="AG92" s="346"/>
      <c r="AH92" s="346"/>
      <c r="AI92" s="346"/>
    </row>
    <row r="93" spans="1:35" ht="15">
      <c r="A93" s="3"/>
      <c r="B93" s="352"/>
      <c r="C93" s="352"/>
      <c r="D93" s="352"/>
      <c r="E93" s="352"/>
      <c r="F93" s="352"/>
      <c r="H93" s="350"/>
      <c r="I93" s="351"/>
      <c r="J93" s="351"/>
      <c r="K93" s="351"/>
      <c r="L93" s="351"/>
      <c r="M93" s="351"/>
      <c r="N93" s="351"/>
      <c r="O93" s="351"/>
      <c r="P93" s="351"/>
      <c r="Q93" s="351"/>
      <c r="R93" s="351"/>
      <c r="S93" s="351"/>
      <c r="T93" s="351"/>
      <c r="U93" s="351"/>
      <c r="V93" s="351"/>
      <c r="W93" s="351"/>
      <c r="X93" s="351"/>
      <c r="Y93" s="351"/>
      <c r="Z93" s="351"/>
      <c r="AA93" s="351"/>
      <c r="AB93" s="351"/>
      <c r="AC93" s="351"/>
      <c r="AD93" s="3"/>
      <c r="AE93" s="346"/>
      <c r="AF93" s="346"/>
      <c r="AG93" s="346"/>
      <c r="AH93" s="346"/>
      <c r="AI93" s="346"/>
    </row>
    <row r="94" spans="1:35" ht="15">
      <c r="A94" s="3"/>
      <c r="B94" s="352">
        <f>IF('BIABacus PR 1.3U'!ES156&gt;0,'BIABacus PR 1.3U'!ES156,"")</f>
      </c>
      <c r="C94" s="352"/>
      <c r="D94" s="352"/>
      <c r="E94" s="352"/>
      <c r="F94" s="352"/>
      <c r="H94" s="350">
        <f>IF('BIABacus PR 1.3U'!EY156&gt;0,'BIABacus PR 1.3U'!EY156,"")</f>
      </c>
      <c r="I94" s="351"/>
      <c r="J94" s="351"/>
      <c r="K94" s="351"/>
      <c r="L94" s="351"/>
      <c r="M94" s="351"/>
      <c r="N94" s="351"/>
      <c r="O94" s="351"/>
      <c r="P94" s="351"/>
      <c r="Q94" s="351"/>
      <c r="R94" s="351"/>
      <c r="S94" s="351"/>
      <c r="T94" s="351"/>
      <c r="U94" s="351"/>
      <c r="V94" s="351"/>
      <c r="W94" s="351"/>
      <c r="X94" s="351"/>
      <c r="Y94" s="351"/>
      <c r="Z94" s="351"/>
      <c r="AA94" s="351"/>
      <c r="AB94" s="351"/>
      <c r="AC94" s="351"/>
      <c r="AD94" s="3"/>
      <c r="AE94" s="346">
        <f>IF('BIABacus PR 1.3U'!FV156&gt;0,'BIABacus PR 1.3U'!FV156,"")</f>
      </c>
      <c r="AF94" s="346"/>
      <c r="AG94" s="346"/>
      <c r="AH94" s="346"/>
      <c r="AI94" s="346"/>
    </row>
    <row r="95" spans="1:35" ht="15">
      <c r="A95" s="3"/>
      <c r="B95" s="352"/>
      <c r="C95" s="352"/>
      <c r="D95" s="352"/>
      <c r="E95" s="352"/>
      <c r="F95" s="352"/>
      <c r="H95" s="350"/>
      <c r="I95" s="351"/>
      <c r="J95" s="351"/>
      <c r="K95" s="351"/>
      <c r="L95" s="351"/>
      <c r="M95" s="351"/>
      <c r="N95" s="351"/>
      <c r="O95" s="351"/>
      <c r="P95" s="351"/>
      <c r="Q95" s="351"/>
      <c r="R95" s="351"/>
      <c r="S95" s="351"/>
      <c r="T95" s="351"/>
      <c r="U95" s="351"/>
      <c r="V95" s="351"/>
      <c r="W95" s="351"/>
      <c r="X95" s="351"/>
      <c r="Y95" s="351"/>
      <c r="Z95" s="351"/>
      <c r="AA95" s="351"/>
      <c r="AB95" s="351"/>
      <c r="AC95" s="351"/>
      <c r="AD95" s="3"/>
      <c r="AE95" s="346"/>
      <c r="AF95" s="346"/>
      <c r="AG95" s="346"/>
      <c r="AH95" s="346"/>
      <c r="AI95" s="346"/>
    </row>
    <row r="96" spans="1:35" ht="15">
      <c r="A96" s="3"/>
      <c r="B96" s="352">
        <f>IF('BIABacus PR 1.3U'!ES159&gt;0,'BIABacus PR 1.3U'!ES159,"")</f>
      </c>
      <c r="C96" s="352"/>
      <c r="D96" s="352"/>
      <c r="E96" s="352"/>
      <c r="F96" s="352"/>
      <c r="H96" s="350">
        <f>IF('BIABacus PR 1.3U'!EY159&gt;0,'BIABacus PR 1.3U'!EY159,"")</f>
      </c>
      <c r="I96" s="351"/>
      <c r="J96" s="351"/>
      <c r="K96" s="351"/>
      <c r="L96" s="351"/>
      <c r="M96" s="351"/>
      <c r="N96" s="351"/>
      <c r="O96" s="351"/>
      <c r="P96" s="351"/>
      <c r="Q96" s="351"/>
      <c r="R96" s="351"/>
      <c r="S96" s="351"/>
      <c r="T96" s="351"/>
      <c r="U96" s="351"/>
      <c r="V96" s="351"/>
      <c r="W96" s="351"/>
      <c r="X96" s="351"/>
      <c r="Y96" s="351"/>
      <c r="Z96" s="351"/>
      <c r="AA96" s="351"/>
      <c r="AB96" s="351"/>
      <c r="AC96" s="351"/>
      <c r="AD96" s="3"/>
      <c r="AE96" s="346">
        <f>IF('BIABacus PR 1.3U'!FV159&gt;0,'BIABacus PR 1.3U'!FV159,"")</f>
      </c>
      <c r="AF96" s="346"/>
      <c r="AG96" s="346"/>
      <c r="AH96" s="346"/>
      <c r="AI96" s="346"/>
    </row>
    <row r="97" spans="1:35" ht="15">
      <c r="A97" s="3"/>
      <c r="B97" s="352"/>
      <c r="C97" s="352"/>
      <c r="D97" s="352"/>
      <c r="E97" s="352"/>
      <c r="F97" s="352"/>
      <c r="H97" s="350"/>
      <c r="I97" s="351"/>
      <c r="J97" s="351"/>
      <c r="K97" s="351"/>
      <c r="L97" s="351"/>
      <c r="M97" s="351"/>
      <c r="N97" s="351"/>
      <c r="O97" s="351"/>
      <c r="P97" s="351"/>
      <c r="Q97" s="351"/>
      <c r="R97" s="351"/>
      <c r="S97" s="351"/>
      <c r="T97" s="351"/>
      <c r="U97" s="351"/>
      <c r="V97" s="351"/>
      <c r="W97" s="351"/>
      <c r="X97" s="351"/>
      <c r="Y97" s="351"/>
      <c r="Z97" s="351"/>
      <c r="AA97" s="351"/>
      <c r="AB97" s="351"/>
      <c r="AC97" s="351"/>
      <c r="AD97" s="3"/>
      <c r="AE97" s="346"/>
      <c r="AF97" s="346"/>
      <c r="AG97" s="346"/>
      <c r="AH97" s="346"/>
      <c r="AI97" s="346"/>
    </row>
    <row r="98" spans="1:35" ht="15">
      <c r="A98" s="3"/>
      <c r="B98" s="352">
        <f>IF('BIABacus PR 1.3U'!ES162&gt;0,'BIABacus PR 1.3U'!ES162,"")</f>
      </c>
      <c r="C98" s="352"/>
      <c r="D98" s="352"/>
      <c r="E98" s="352"/>
      <c r="F98" s="352"/>
      <c r="H98" s="350">
        <f>IF('BIABacus PR 1.3U'!EY162&gt;0,'BIABacus PR 1.3U'!EY162,"")</f>
      </c>
      <c r="I98" s="351"/>
      <c r="J98" s="351"/>
      <c r="K98" s="351"/>
      <c r="L98" s="351"/>
      <c r="M98" s="351"/>
      <c r="N98" s="351"/>
      <c r="O98" s="351"/>
      <c r="P98" s="351"/>
      <c r="Q98" s="351"/>
      <c r="R98" s="351"/>
      <c r="S98" s="351"/>
      <c r="T98" s="351"/>
      <c r="U98" s="351"/>
      <c r="V98" s="351"/>
      <c r="W98" s="351"/>
      <c r="X98" s="351"/>
      <c r="Y98" s="351"/>
      <c r="Z98" s="351"/>
      <c r="AA98" s="351"/>
      <c r="AB98" s="351"/>
      <c r="AC98" s="351"/>
      <c r="AD98" s="3"/>
      <c r="AE98" s="346">
        <f>IF('BIABacus PR 1.3U'!FV162&gt;0,'BIABacus PR 1.3U'!FV162,"")</f>
      </c>
      <c r="AF98" s="346"/>
      <c r="AG98" s="346"/>
      <c r="AH98" s="346"/>
      <c r="AI98" s="346"/>
    </row>
    <row r="99" spans="1:35" ht="15">
      <c r="A99" s="3"/>
      <c r="B99" s="352"/>
      <c r="C99" s="352"/>
      <c r="D99" s="352"/>
      <c r="E99" s="352"/>
      <c r="F99" s="352"/>
      <c r="H99" s="350"/>
      <c r="I99" s="351"/>
      <c r="J99" s="351"/>
      <c r="K99" s="351"/>
      <c r="L99" s="351"/>
      <c r="M99" s="351"/>
      <c r="N99" s="351"/>
      <c r="O99" s="351"/>
      <c r="P99" s="351"/>
      <c r="Q99" s="351"/>
      <c r="R99" s="351"/>
      <c r="S99" s="351"/>
      <c r="T99" s="351"/>
      <c r="U99" s="351"/>
      <c r="V99" s="351"/>
      <c r="W99" s="351"/>
      <c r="X99" s="351"/>
      <c r="Y99" s="351"/>
      <c r="Z99" s="351"/>
      <c r="AA99" s="351"/>
      <c r="AB99" s="351"/>
      <c r="AC99" s="351"/>
      <c r="AD99" s="3"/>
      <c r="AE99" s="346"/>
      <c r="AF99" s="346"/>
      <c r="AG99" s="346"/>
      <c r="AH99" s="346"/>
      <c r="AI99" s="346"/>
    </row>
    <row r="100" spans="1:35" ht="15">
      <c r="A100" s="3"/>
      <c r="B100" s="352">
        <f>IF('BIABacus PR 1.3U'!ES165&gt;0,'BIABacus PR 1.3U'!ES165,"")</f>
      </c>
      <c r="C100" s="352"/>
      <c r="D100" s="352"/>
      <c r="E100" s="352"/>
      <c r="F100" s="352"/>
      <c r="H100" s="350">
        <f>IF('BIABacus PR 1.3U'!EY165&gt;0,'BIABacus PR 1.3U'!EY165,"")</f>
      </c>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
      <c r="AE100" s="346">
        <f>IF('BIABacus PR 1.3U'!FV165&gt;0,'BIABacus PR 1.3U'!FV165,"")</f>
      </c>
      <c r="AF100" s="346"/>
      <c r="AG100" s="346"/>
      <c r="AH100" s="346"/>
      <c r="AI100" s="346"/>
    </row>
    <row r="101" spans="1:35" ht="15">
      <c r="A101" s="3"/>
      <c r="B101" s="352"/>
      <c r="C101" s="352"/>
      <c r="D101" s="352"/>
      <c r="E101" s="352"/>
      <c r="F101" s="352"/>
      <c r="H101" s="350"/>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
      <c r="AE101" s="346"/>
      <c r="AF101" s="346"/>
      <c r="AG101" s="346"/>
      <c r="AH101" s="346"/>
      <c r="AI101" s="346"/>
    </row>
    <row r="102" spans="1:35" ht="15">
      <c r="A102" s="3"/>
      <c r="B102" s="352">
        <f>IF('BIABacus PR 1.3U'!ES168&gt;0,'BIABacus PR 1.3U'!ES168,"")</f>
      </c>
      <c r="C102" s="352"/>
      <c r="D102" s="352"/>
      <c r="E102" s="352"/>
      <c r="F102" s="352"/>
      <c r="H102" s="350">
        <f>IF('BIABacus PR 1.3U'!EY168&gt;0,'BIABacus PR 1.3U'!EY168,"")</f>
      </c>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
      <c r="AE102" s="346">
        <f>IF('BIABacus PR 1.3U'!FV168&gt;0,'BIABacus PR 1.3U'!FV168,"")</f>
      </c>
      <c r="AF102" s="346"/>
      <c r="AG102" s="346"/>
      <c r="AH102" s="346"/>
      <c r="AI102" s="346"/>
    </row>
    <row r="103" spans="1:35" ht="15">
      <c r="A103" s="3"/>
      <c r="B103" s="352"/>
      <c r="C103" s="352"/>
      <c r="D103" s="352"/>
      <c r="E103" s="352"/>
      <c r="F103" s="352"/>
      <c r="H103" s="350"/>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
      <c r="AE103" s="346"/>
      <c r="AF103" s="346"/>
      <c r="AG103" s="346"/>
      <c r="AH103" s="346"/>
      <c r="AI103" s="346"/>
    </row>
    <row r="104" spans="1:35" ht="15">
      <c r="A104" s="3"/>
      <c r="B104" s="352">
        <f>IF('BIABacus PR 1.3U'!ES171&gt;0,'BIABacus PR 1.3U'!ES171,"")</f>
      </c>
      <c r="C104" s="352"/>
      <c r="D104" s="352"/>
      <c r="E104" s="352"/>
      <c r="F104" s="352"/>
      <c r="H104" s="350">
        <f>IF('BIABacus PR 1.3U'!EY171&gt;0,'BIABacus PR 1.3U'!EY171,"")</f>
      </c>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
      <c r="AE104" s="346">
        <f>IF('BIABacus PR 1.3U'!FV171&gt;0,'BIABacus PR 1.3U'!FV171,"")</f>
      </c>
      <c r="AF104" s="346"/>
      <c r="AG104" s="346"/>
      <c r="AH104" s="346"/>
      <c r="AI104" s="346"/>
    </row>
    <row r="105" spans="1:35" ht="15">
      <c r="A105" s="3"/>
      <c r="B105" s="352"/>
      <c r="C105" s="352"/>
      <c r="D105" s="352"/>
      <c r="E105" s="352"/>
      <c r="F105" s="352"/>
      <c r="H105" s="350"/>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
      <c r="AE105" s="346"/>
      <c r="AF105" s="346"/>
      <c r="AG105" s="346"/>
      <c r="AH105" s="346"/>
      <c r="AI105" s="346"/>
    </row>
    <row r="106" spans="1:35" ht="15">
      <c r="A106" s="3"/>
      <c r="B106" s="352">
        <f>IF('BIABacus PR 1.3U'!ES174&gt;0,'BIABacus PR 1.3U'!ES174,"")</f>
      </c>
      <c r="C106" s="352"/>
      <c r="D106" s="352"/>
      <c r="E106" s="352"/>
      <c r="F106" s="352"/>
      <c r="H106" s="350">
        <f>IF('BIABacus PR 1.3U'!EY174&gt;0,'BIABacus PR 1.3U'!EY174,"")</f>
      </c>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
      <c r="AE106" s="346">
        <f>IF('BIABacus PR 1.3U'!FV174&gt;0,'BIABacus PR 1.3U'!FV174,"")</f>
      </c>
      <c r="AF106" s="346"/>
      <c r="AG106" s="346"/>
      <c r="AH106" s="346"/>
      <c r="AI106" s="346"/>
    </row>
    <row r="107" spans="1:35" ht="15">
      <c r="A107" s="3"/>
      <c r="B107" s="352"/>
      <c r="C107" s="352"/>
      <c r="D107" s="352"/>
      <c r="E107" s="352"/>
      <c r="F107" s="352"/>
      <c r="H107" s="350"/>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
      <c r="AE107" s="346"/>
      <c r="AF107" s="346"/>
      <c r="AG107" s="346"/>
      <c r="AH107" s="346"/>
      <c r="AI107" s="346"/>
    </row>
    <row r="108" spans="1:35" ht="15">
      <c r="A108" s="3"/>
      <c r="B108" s="352">
        <f>IF('BIABacus PR 1.3U'!ES177&gt;0,'BIABacus PR 1.3U'!ES177,"")</f>
      </c>
      <c r="C108" s="352"/>
      <c r="D108" s="352"/>
      <c r="E108" s="352"/>
      <c r="F108" s="352"/>
      <c r="H108" s="350">
        <f>IF('BIABacus PR 1.3U'!EY177&gt;0,'BIABacus PR 1.3U'!EY177,"")</f>
      </c>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
      <c r="AE108" s="346">
        <f>IF('BIABacus PR 1.3U'!FV177&gt;0,'BIABacus PR 1.3U'!FV177,"")</f>
      </c>
      <c r="AF108" s="346"/>
      <c r="AG108" s="346"/>
      <c r="AH108" s="346"/>
      <c r="AI108" s="346"/>
    </row>
    <row r="109" spans="1:35" ht="15">
      <c r="A109" s="3"/>
      <c r="B109" s="352"/>
      <c r="C109" s="352"/>
      <c r="D109" s="352"/>
      <c r="E109" s="352"/>
      <c r="F109" s="352"/>
      <c r="H109" s="350"/>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
      <c r="AE109" s="346"/>
      <c r="AF109" s="346"/>
      <c r="AG109" s="346"/>
      <c r="AH109" s="346"/>
      <c r="AI109" s="346"/>
    </row>
    <row r="110" spans="1:35" ht="15">
      <c r="A110" s="3"/>
      <c r="B110" s="352">
        <f>IF('BIABacus PR 1.3U'!ES180&gt;0,'BIABacus PR 1.3U'!ES180,"")</f>
      </c>
      <c r="C110" s="352"/>
      <c r="D110" s="352"/>
      <c r="E110" s="352"/>
      <c r="F110" s="352"/>
      <c r="H110" s="350">
        <f>IF('BIABacus PR 1.3U'!EY180&gt;0,'BIABacus PR 1.3U'!EY180,"")</f>
      </c>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
      <c r="AE110" s="346">
        <f>IF('BIABacus PR 1.3U'!FV180&gt;0,'BIABacus PR 1.3U'!FV180,"")</f>
      </c>
      <c r="AF110" s="346"/>
      <c r="AG110" s="346"/>
      <c r="AH110" s="346"/>
      <c r="AI110" s="346"/>
    </row>
    <row r="111" spans="1:35" ht="15">
      <c r="A111" s="3"/>
      <c r="B111" s="352"/>
      <c r="C111" s="352"/>
      <c r="D111" s="352"/>
      <c r="E111" s="352"/>
      <c r="F111" s="352"/>
      <c r="H111" s="350"/>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
      <c r="AE111" s="346"/>
      <c r="AF111" s="346"/>
      <c r="AG111" s="346"/>
      <c r="AH111" s="346"/>
      <c r="AI111" s="346"/>
    </row>
    <row r="112" spans="1:35" ht="15">
      <c r="A112" s="3"/>
      <c r="B112" s="352">
        <f>IF('BIABacus PR 1.3U'!ES183&gt;0,'BIABacus PR 1.3U'!ES183,"")</f>
      </c>
      <c r="C112" s="352"/>
      <c r="D112" s="352"/>
      <c r="E112" s="352"/>
      <c r="F112" s="352"/>
      <c r="H112" s="350">
        <f>IF('BIABacus PR 1.3U'!EY183&gt;0,'BIABacus PR 1.3U'!EY183,"")</f>
      </c>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
      <c r="AE112" s="346">
        <f>IF('BIABacus PR 1.3U'!FV183&gt;0,'BIABacus PR 1.3U'!FV183,"")</f>
      </c>
      <c r="AF112" s="346"/>
      <c r="AG112" s="346"/>
      <c r="AH112" s="346"/>
      <c r="AI112" s="346"/>
    </row>
    <row r="113" spans="1:35" ht="15">
      <c r="A113" s="3"/>
      <c r="B113" s="352"/>
      <c r="C113" s="352"/>
      <c r="D113" s="352"/>
      <c r="E113" s="352"/>
      <c r="F113" s="352"/>
      <c r="H113" s="350"/>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
      <c r="AE113" s="346"/>
      <c r="AF113" s="346"/>
      <c r="AG113" s="346"/>
      <c r="AH113" s="346"/>
      <c r="AI113" s="346"/>
    </row>
    <row r="114" spans="1:35" ht="15">
      <c r="A114" s="3"/>
      <c r="B114" s="352">
        <f>IF('BIABacus PR 1.3U'!ES186&gt;0,'BIABacus PR 1.3U'!ES186,"")</f>
      </c>
      <c r="C114" s="352"/>
      <c r="D114" s="352"/>
      <c r="E114" s="352"/>
      <c r="F114" s="352"/>
      <c r="H114" s="350">
        <f>IF('BIABacus PR 1.3U'!EY186&gt;0,'BIABacus PR 1.3U'!EY186,"")</f>
      </c>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
      <c r="AE114" s="346">
        <f>IF('BIABacus PR 1.3U'!FV186&gt;0,'BIABacus PR 1.3U'!FV186,"")</f>
      </c>
      <c r="AF114" s="346"/>
      <c r="AG114" s="346"/>
      <c r="AH114" s="346"/>
      <c r="AI114" s="346"/>
    </row>
    <row r="115" spans="1:36" ht="15">
      <c r="A115" s="326"/>
      <c r="B115" s="326"/>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row>
    <row r="116" spans="1:36" ht="15">
      <c r="A116" s="346" t="s">
        <v>222</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row>
    <row r="117" spans="1:36" ht="15">
      <c r="A117" s="346"/>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row>
    <row r="118" spans="1:35" ht="15">
      <c r="A118" s="3"/>
      <c r="B118" s="353"/>
      <c r="C118" s="353"/>
      <c r="D118" s="353"/>
      <c r="E118" s="353"/>
      <c r="F118" s="353"/>
      <c r="H118" s="350"/>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
      <c r="AE118" s="346"/>
      <c r="AF118" s="346"/>
      <c r="AG118" s="346"/>
      <c r="AH118" s="346"/>
      <c r="AI118" s="346"/>
    </row>
    <row r="119" spans="1:35" ht="15">
      <c r="A119" s="3"/>
      <c r="B119" s="353"/>
      <c r="C119" s="353"/>
      <c r="D119" s="353"/>
      <c r="E119" s="353"/>
      <c r="F119" s="353"/>
      <c r="H119" s="350"/>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
      <c r="AE119" s="346"/>
      <c r="AF119" s="346"/>
      <c r="AG119" s="346"/>
      <c r="AH119" s="346"/>
      <c r="AI119" s="346"/>
    </row>
    <row r="120" spans="1:35" ht="15">
      <c r="A120" s="3"/>
      <c r="B120" s="353"/>
      <c r="C120" s="353"/>
      <c r="D120" s="353"/>
      <c r="E120" s="353"/>
      <c r="F120" s="353"/>
      <c r="H120" s="350"/>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
      <c r="AE120" s="346"/>
      <c r="AF120" s="346"/>
      <c r="AG120" s="346"/>
      <c r="AH120" s="346"/>
      <c r="AI120" s="346"/>
    </row>
    <row r="121" spans="1:35" ht="15">
      <c r="A121" s="3"/>
      <c r="B121" s="353"/>
      <c r="C121" s="353"/>
      <c r="D121" s="353"/>
      <c r="E121" s="353"/>
      <c r="F121" s="353"/>
      <c r="H121" s="350"/>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
      <c r="AE121" s="346"/>
      <c r="AF121" s="346"/>
      <c r="AG121" s="346"/>
      <c r="AH121" s="346"/>
      <c r="AI121" s="346"/>
    </row>
    <row r="122" spans="1:35" ht="15">
      <c r="A122" s="3"/>
      <c r="B122" s="353"/>
      <c r="C122" s="353"/>
      <c r="D122" s="353"/>
      <c r="E122" s="353"/>
      <c r="F122" s="353"/>
      <c r="H122" s="350"/>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
      <c r="AE122" s="346"/>
      <c r="AF122" s="346"/>
      <c r="AG122" s="346"/>
      <c r="AH122" s="346"/>
      <c r="AI122" s="346"/>
    </row>
    <row r="123" spans="1:35" ht="15">
      <c r="A123" s="3"/>
      <c r="B123" s="353"/>
      <c r="C123" s="353"/>
      <c r="D123" s="353"/>
      <c r="E123" s="353"/>
      <c r="F123" s="353"/>
      <c r="H123" s="350"/>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
      <c r="AE123" s="346"/>
      <c r="AF123" s="346"/>
      <c r="AG123" s="346"/>
      <c r="AH123" s="346"/>
      <c r="AI123" s="346"/>
    </row>
    <row r="124" spans="1:35" ht="15">
      <c r="A124" s="3"/>
      <c r="B124" s="353"/>
      <c r="C124" s="353"/>
      <c r="D124" s="353"/>
      <c r="E124" s="353"/>
      <c r="F124" s="353"/>
      <c r="H124" s="350"/>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
      <c r="AE124" s="346"/>
      <c r="AF124" s="346"/>
      <c r="AG124" s="346"/>
      <c r="AH124" s="346"/>
      <c r="AI124" s="346"/>
    </row>
    <row r="125" spans="1:35" ht="15">
      <c r="A125" s="3"/>
      <c r="B125" s="353"/>
      <c r="C125" s="353"/>
      <c r="D125" s="353"/>
      <c r="E125" s="353"/>
      <c r="F125" s="353"/>
      <c r="H125" s="350"/>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
      <c r="AE125" s="346"/>
      <c r="AF125" s="346"/>
      <c r="AG125" s="346"/>
      <c r="AH125" s="346"/>
      <c r="AI125" s="346"/>
    </row>
    <row r="126" spans="1:35" ht="15">
      <c r="A126" s="3"/>
      <c r="B126" s="353"/>
      <c r="C126" s="353"/>
      <c r="D126" s="353"/>
      <c r="E126" s="353"/>
      <c r="F126" s="353"/>
      <c r="H126" s="350"/>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
      <c r="AE126" s="346"/>
      <c r="AF126" s="346"/>
      <c r="AG126" s="346"/>
      <c r="AH126" s="346"/>
      <c r="AI126" s="346"/>
    </row>
    <row r="127" spans="1:35" ht="15">
      <c r="A127" s="3"/>
      <c r="B127" s="353"/>
      <c r="C127" s="353"/>
      <c r="D127" s="353"/>
      <c r="E127" s="353"/>
      <c r="F127" s="353"/>
      <c r="H127" s="350"/>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
      <c r="AE127" s="346"/>
      <c r="AF127" s="346"/>
      <c r="AG127" s="346"/>
      <c r="AH127" s="346"/>
      <c r="AI127" s="346"/>
    </row>
    <row r="128" spans="1:35" ht="15">
      <c r="A128" s="3"/>
      <c r="B128" s="353"/>
      <c r="C128" s="353"/>
      <c r="D128" s="353"/>
      <c r="E128" s="353"/>
      <c r="F128" s="353"/>
      <c r="H128" s="350"/>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
      <c r="AE128" s="346"/>
      <c r="AF128" s="346"/>
      <c r="AG128" s="346"/>
      <c r="AH128" s="346"/>
      <c r="AI128" s="346"/>
    </row>
    <row r="129" spans="1:35" ht="15">
      <c r="A129" s="3"/>
      <c r="B129" s="353"/>
      <c r="C129" s="353"/>
      <c r="D129" s="353"/>
      <c r="E129" s="353"/>
      <c r="F129" s="353"/>
      <c r="H129" s="350"/>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
      <c r="AE129" s="346"/>
      <c r="AF129" s="346"/>
      <c r="AG129" s="346"/>
      <c r="AH129" s="346"/>
      <c r="AI129" s="346"/>
    </row>
    <row r="130" spans="1:35" ht="15">
      <c r="A130" s="3"/>
      <c r="B130" s="353"/>
      <c r="C130" s="353"/>
      <c r="D130" s="353"/>
      <c r="E130" s="353"/>
      <c r="F130" s="353"/>
      <c r="H130" s="350"/>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
      <c r="AE130" s="346"/>
      <c r="AF130" s="346"/>
      <c r="AG130" s="346"/>
      <c r="AH130" s="346"/>
      <c r="AI130" s="346"/>
    </row>
    <row r="131" spans="1:35" ht="15">
      <c r="A131" s="3"/>
      <c r="B131" s="353"/>
      <c r="C131" s="353"/>
      <c r="D131" s="353"/>
      <c r="E131" s="353"/>
      <c r="F131" s="353"/>
      <c r="H131" s="350"/>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
      <c r="AE131" s="346"/>
      <c r="AF131" s="346"/>
      <c r="AG131" s="346"/>
      <c r="AH131" s="346"/>
      <c r="AI131" s="346"/>
    </row>
    <row r="132" spans="1:35" ht="15">
      <c r="A132" s="3"/>
      <c r="B132" s="353"/>
      <c r="C132" s="353"/>
      <c r="D132" s="353"/>
      <c r="E132" s="353"/>
      <c r="F132" s="353"/>
      <c r="H132" s="350"/>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
      <c r="AE132" s="346"/>
      <c r="AF132" s="346"/>
      <c r="AG132" s="346"/>
      <c r="AH132" s="346"/>
      <c r="AI132" s="346"/>
    </row>
    <row r="133" spans="1:35" ht="15">
      <c r="A133" s="3"/>
      <c r="B133" s="353"/>
      <c r="C133" s="353"/>
      <c r="D133" s="353"/>
      <c r="E133" s="353"/>
      <c r="F133" s="353"/>
      <c r="H133" s="350"/>
      <c r="I133" s="351"/>
      <c r="J133" s="351"/>
      <c r="K133" s="351"/>
      <c r="L133" s="351"/>
      <c r="M133" s="351"/>
      <c r="N133" s="351"/>
      <c r="O133" s="351"/>
      <c r="P133" s="351"/>
      <c r="Q133" s="351"/>
      <c r="R133" s="351"/>
      <c r="S133" s="351"/>
      <c r="T133" s="351"/>
      <c r="U133" s="351"/>
      <c r="V133" s="351"/>
      <c r="W133" s="351"/>
      <c r="X133" s="351"/>
      <c r="Y133" s="351"/>
      <c r="Z133" s="351"/>
      <c r="AA133" s="351"/>
      <c r="AB133" s="351"/>
      <c r="AC133" s="351"/>
      <c r="AD133" s="3"/>
      <c r="AE133" s="346"/>
      <c r="AF133" s="346"/>
      <c r="AG133" s="346"/>
      <c r="AH133" s="346"/>
      <c r="AI133" s="346"/>
    </row>
    <row r="134" spans="1:35" ht="15">
      <c r="A134" s="3"/>
      <c r="B134" s="353"/>
      <c r="C134" s="353"/>
      <c r="D134" s="353"/>
      <c r="E134" s="353"/>
      <c r="F134" s="353"/>
      <c r="H134" s="350"/>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
      <c r="AE134" s="346"/>
      <c r="AF134" s="346"/>
      <c r="AG134" s="346"/>
      <c r="AH134" s="346"/>
      <c r="AI134" s="346"/>
    </row>
    <row r="135" spans="1:35" ht="15">
      <c r="A135" s="3"/>
      <c r="B135" s="353"/>
      <c r="C135" s="353"/>
      <c r="D135" s="353"/>
      <c r="E135" s="353"/>
      <c r="F135" s="353"/>
      <c r="H135" s="350"/>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
      <c r="AE135" s="346"/>
      <c r="AF135" s="346"/>
      <c r="AG135" s="346"/>
      <c r="AH135" s="346"/>
      <c r="AI135" s="346"/>
    </row>
    <row r="136" spans="1:35" ht="15">
      <c r="A136" s="3"/>
      <c r="B136" s="353"/>
      <c r="C136" s="353"/>
      <c r="D136" s="353"/>
      <c r="E136" s="353"/>
      <c r="F136" s="353"/>
      <c r="H136" s="350"/>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
      <c r="AE136" s="346"/>
      <c r="AF136" s="346"/>
      <c r="AG136" s="346"/>
      <c r="AH136" s="346"/>
      <c r="AI136" s="346"/>
    </row>
    <row r="137" spans="1:35" ht="15">
      <c r="A137" s="3"/>
      <c r="B137" s="353"/>
      <c r="C137" s="353"/>
      <c r="D137" s="353"/>
      <c r="E137" s="353"/>
      <c r="F137" s="353"/>
      <c r="H137" s="350"/>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
      <c r="AE137" s="346"/>
      <c r="AF137" s="346"/>
      <c r="AG137" s="346"/>
      <c r="AH137" s="346"/>
      <c r="AI137" s="346"/>
    </row>
    <row r="138" spans="1:35" ht="15">
      <c r="A138" s="3"/>
      <c r="B138" s="353"/>
      <c r="C138" s="353"/>
      <c r="D138" s="353"/>
      <c r="E138" s="353"/>
      <c r="F138" s="353"/>
      <c r="H138" s="350"/>
      <c r="I138" s="351"/>
      <c r="J138" s="351"/>
      <c r="K138" s="351"/>
      <c r="L138" s="351"/>
      <c r="M138" s="351"/>
      <c r="N138" s="351"/>
      <c r="O138" s="351"/>
      <c r="P138" s="351"/>
      <c r="Q138" s="351"/>
      <c r="R138" s="351"/>
      <c r="S138" s="351"/>
      <c r="T138" s="351"/>
      <c r="U138" s="351"/>
      <c r="V138" s="351"/>
      <c r="W138" s="351"/>
      <c r="X138" s="351"/>
      <c r="Y138" s="351"/>
      <c r="Z138" s="351"/>
      <c r="AA138" s="351"/>
      <c r="AB138" s="351"/>
      <c r="AC138" s="351"/>
      <c r="AD138" s="3"/>
      <c r="AE138" s="346"/>
      <c r="AF138" s="346"/>
      <c r="AG138" s="346"/>
      <c r="AH138" s="346"/>
      <c r="AI138" s="346"/>
    </row>
    <row r="139" spans="1:35" ht="15">
      <c r="A139" s="3"/>
      <c r="B139" s="353"/>
      <c r="C139" s="353"/>
      <c r="D139" s="353"/>
      <c r="E139" s="353"/>
      <c r="F139" s="353"/>
      <c r="H139" s="350"/>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
      <c r="AE139" s="346"/>
      <c r="AF139" s="346"/>
      <c r="AG139" s="346"/>
      <c r="AH139" s="346"/>
      <c r="AI139" s="346"/>
    </row>
    <row r="140" spans="1:35" ht="15">
      <c r="A140" s="3"/>
      <c r="B140" s="353"/>
      <c r="C140" s="353"/>
      <c r="D140" s="353"/>
      <c r="E140" s="353"/>
      <c r="F140" s="353"/>
      <c r="H140" s="350"/>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
      <c r="AE140" s="346"/>
      <c r="AF140" s="346"/>
      <c r="AG140" s="346"/>
      <c r="AH140" s="346"/>
      <c r="AI140" s="346"/>
    </row>
    <row r="141" spans="1:35" ht="15">
      <c r="A141" s="3"/>
      <c r="B141" s="353"/>
      <c r="C141" s="353"/>
      <c r="D141" s="353"/>
      <c r="E141" s="353"/>
      <c r="F141" s="353"/>
      <c r="H141" s="350"/>
      <c r="I141" s="351"/>
      <c r="J141" s="351"/>
      <c r="K141" s="351"/>
      <c r="L141" s="351"/>
      <c r="M141" s="351"/>
      <c r="N141" s="351"/>
      <c r="O141" s="351"/>
      <c r="P141" s="351"/>
      <c r="Q141" s="351"/>
      <c r="R141" s="351"/>
      <c r="S141" s="351"/>
      <c r="T141" s="351"/>
      <c r="U141" s="351"/>
      <c r="V141" s="351"/>
      <c r="W141" s="351"/>
      <c r="X141" s="351"/>
      <c r="Y141" s="351"/>
      <c r="Z141" s="351"/>
      <c r="AA141" s="351"/>
      <c r="AB141" s="351"/>
      <c r="AC141" s="351"/>
      <c r="AD141" s="3"/>
      <c r="AE141" s="346"/>
      <c r="AF141" s="346"/>
      <c r="AG141" s="346"/>
      <c r="AH141" s="346"/>
      <c r="AI141" s="346"/>
    </row>
    <row r="142" spans="1:35" ht="15">
      <c r="A142" s="3"/>
      <c r="B142" s="353"/>
      <c r="C142" s="353"/>
      <c r="D142" s="353"/>
      <c r="E142" s="353"/>
      <c r="F142" s="353"/>
      <c r="H142" s="350"/>
      <c r="I142" s="351"/>
      <c r="J142" s="351"/>
      <c r="K142" s="351"/>
      <c r="L142" s="351"/>
      <c r="M142" s="351"/>
      <c r="N142" s="351"/>
      <c r="O142" s="351"/>
      <c r="P142" s="351"/>
      <c r="Q142" s="351"/>
      <c r="R142" s="351"/>
      <c r="S142" s="351"/>
      <c r="T142" s="351"/>
      <c r="U142" s="351"/>
      <c r="V142" s="351"/>
      <c r="W142" s="351"/>
      <c r="X142" s="351"/>
      <c r="Y142" s="351"/>
      <c r="Z142" s="351"/>
      <c r="AA142" s="351"/>
      <c r="AB142" s="351"/>
      <c r="AC142" s="351"/>
      <c r="AD142" s="3"/>
      <c r="AE142" s="346"/>
      <c r="AF142" s="346"/>
      <c r="AG142" s="346"/>
      <c r="AH142" s="346"/>
      <c r="AI142" s="346"/>
    </row>
    <row r="143" spans="1:35" ht="15">
      <c r="A143" s="3"/>
      <c r="B143" s="353"/>
      <c r="C143" s="353"/>
      <c r="D143" s="353"/>
      <c r="E143" s="353"/>
      <c r="F143" s="353"/>
      <c r="H143" s="350"/>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
      <c r="AE143" s="346"/>
      <c r="AF143" s="346"/>
      <c r="AG143" s="346"/>
      <c r="AH143" s="346"/>
      <c r="AI143" s="346"/>
    </row>
    <row r="144" spans="1:35" ht="15">
      <c r="A144" s="3"/>
      <c r="B144" s="353"/>
      <c r="C144" s="353"/>
      <c r="D144" s="353"/>
      <c r="E144" s="353"/>
      <c r="F144" s="353"/>
      <c r="H144" s="350"/>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
      <c r="AE144" s="346"/>
      <c r="AF144" s="346"/>
      <c r="AG144" s="346"/>
      <c r="AH144" s="346"/>
      <c r="AI144" s="346"/>
    </row>
    <row r="145" spans="1:35" ht="15">
      <c r="A145" s="3"/>
      <c r="B145" s="353"/>
      <c r="C145" s="353"/>
      <c r="D145" s="353"/>
      <c r="E145" s="353"/>
      <c r="F145" s="353"/>
      <c r="H145" s="350"/>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
      <c r="AE145" s="346"/>
      <c r="AF145" s="346"/>
      <c r="AG145" s="346"/>
      <c r="AH145" s="346"/>
      <c r="AI145" s="346"/>
    </row>
    <row r="146" spans="1:35" ht="15">
      <c r="A146" s="3"/>
      <c r="B146" s="353"/>
      <c r="C146" s="353"/>
      <c r="D146" s="353"/>
      <c r="E146" s="353"/>
      <c r="F146" s="353"/>
      <c r="H146" s="350"/>
      <c r="I146" s="351"/>
      <c r="J146" s="351"/>
      <c r="K146" s="351"/>
      <c r="L146" s="351"/>
      <c r="M146" s="351"/>
      <c r="N146" s="351"/>
      <c r="O146" s="351"/>
      <c r="P146" s="351"/>
      <c r="Q146" s="351"/>
      <c r="R146" s="351"/>
      <c r="S146" s="351"/>
      <c r="T146" s="351"/>
      <c r="U146" s="351"/>
      <c r="V146" s="351"/>
      <c r="W146" s="351"/>
      <c r="X146" s="351"/>
      <c r="Y146" s="351"/>
      <c r="Z146" s="351"/>
      <c r="AA146" s="351"/>
      <c r="AB146" s="351"/>
      <c r="AC146" s="351"/>
      <c r="AD146" s="3"/>
      <c r="AE146" s="346"/>
      <c r="AF146" s="346"/>
      <c r="AG146" s="346"/>
      <c r="AH146" s="346"/>
      <c r="AI146" s="346"/>
    </row>
    <row r="147" spans="1:35" ht="15">
      <c r="A147" s="3"/>
      <c r="B147" s="353"/>
      <c r="C147" s="353"/>
      <c r="D147" s="353"/>
      <c r="E147" s="353"/>
      <c r="F147" s="353"/>
      <c r="H147" s="350"/>
      <c r="I147" s="351"/>
      <c r="J147" s="351"/>
      <c r="K147" s="351"/>
      <c r="L147" s="351"/>
      <c r="M147" s="351"/>
      <c r="N147" s="351"/>
      <c r="O147" s="351"/>
      <c r="P147" s="351"/>
      <c r="Q147" s="351"/>
      <c r="R147" s="351"/>
      <c r="S147" s="351"/>
      <c r="T147" s="351"/>
      <c r="U147" s="351"/>
      <c r="V147" s="351"/>
      <c r="W147" s="351"/>
      <c r="X147" s="351"/>
      <c r="Y147" s="351"/>
      <c r="Z147" s="351"/>
      <c r="AA147" s="351"/>
      <c r="AB147" s="351"/>
      <c r="AC147" s="351"/>
      <c r="AD147" s="3"/>
      <c r="AE147" s="346"/>
      <c r="AF147" s="346"/>
      <c r="AG147" s="346"/>
      <c r="AH147" s="346"/>
      <c r="AI147" s="346"/>
    </row>
    <row r="148" spans="1:35" ht="15">
      <c r="A148" s="3"/>
      <c r="B148" s="353"/>
      <c r="C148" s="353"/>
      <c r="D148" s="353"/>
      <c r="E148" s="353"/>
      <c r="F148" s="353"/>
      <c r="H148" s="350"/>
      <c r="I148" s="351"/>
      <c r="J148" s="351"/>
      <c r="K148" s="351"/>
      <c r="L148" s="351"/>
      <c r="M148" s="351"/>
      <c r="N148" s="351"/>
      <c r="O148" s="351"/>
      <c r="P148" s="351"/>
      <c r="Q148" s="351"/>
      <c r="R148" s="351"/>
      <c r="S148" s="351"/>
      <c r="T148" s="351"/>
      <c r="U148" s="351"/>
      <c r="V148" s="351"/>
      <c r="W148" s="351"/>
      <c r="X148" s="351"/>
      <c r="Y148" s="351"/>
      <c r="Z148" s="351"/>
      <c r="AA148" s="351"/>
      <c r="AB148" s="351"/>
      <c r="AC148" s="351"/>
      <c r="AD148" s="3"/>
      <c r="AE148" s="346"/>
      <c r="AF148" s="346"/>
      <c r="AG148" s="346"/>
      <c r="AH148" s="346"/>
      <c r="AI148" s="346"/>
    </row>
    <row r="149" spans="1:35" ht="15">
      <c r="A149" s="3"/>
      <c r="B149" s="353"/>
      <c r="C149" s="353"/>
      <c r="D149" s="353"/>
      <c r="E149" s="353"/>
      <c r="F149" s="353"/>
      <c r="H149" s="350"/>
      <c r="I149" s="351"/>
      <c r="J149" s="351"/>
      <c r="K149" s="351"/>
      <c r="L149" s="351"/>
      <c r="M149" s="351"/>
      <c r="N149" s="351"/>
      <c r="O149" s="351"/>
      <c r="P149" s="351"/>
      <c r="Q149" s="351"/>
      <c r="R149" s="351"/>
      <c r="S149" s="351"/>
      <c r="T149" s="351"/>
      <c r="U149" s="351"/>
      <c r="V149" s="351"/>
      <c r="W149" s="351"/>
      <c r="X149" s="351"/>
      <c r="Y149" s="351"/>
      <c r="Z149" s="351"/>
      <c r="AA149" s="351"/>
      <c r="AB149" s="351"/>
      <c r="AC149" s="351"/>
      <c r="AD149" s="3"/>
      <c r="AE149" s="346"/>
      <c r="AF149" s="346"/>
      <c r="AG149" s="346"/>
      <c r="AH149" s="346"/>
      <c r="AI149" s="346"/>
    </row>
    <row r="150" spans="1:35" ht="15">
      <c r="A150" s="3"/>
      <c r="B150" s="353"/>
      <c r="C150" s="353"/>
      <c r="D150" s="353"/>
      <c r="E150" s="353"/>
      <c r="F150" s="353"/>
      <c r="H150" s="350"/>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
      <c r="AE150" s="346"/>
      <c r="AF150" s="346"/>
      <c r="AG150" s="346"/>
      <c r="AH150" s="346"/>
      <c r="AI150" s="346"/>
    </row>
    <row r="151" spans="1:35" ht="15">
      <c r="A151" s="3"/>
      <c r="B151" s="353"/>
      <c r="C151" s="353"/>
      <c r="D151" s="353"/>
      <c r="E151" s="353"/>
      <c r="F151" s="353"/>
      <c r="H151" s="350"/>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
      <c r="AE151" s="346"/>
      <c r="AF151" s="346"/>
      <c r="AG151" s="346"/>
      <c r="AH151" s="346"/>
      <c r="AI151" s="346"/>
    </row>
    <row r="152" spans="1:35" ht="15">
      <c r="A152" s="3"/>
      <c r="B152" s="353"/>
      <c r="C152" s="353"/>
      <c r="D152" s="353"/>
      <c r="E152" s="353"/>
      <c r="F152" s="353"/>
      <c r="H152" s="350"/>
      <c r="I152" s="351"/>
      <c r="J152" s="351"/>
      <c r="K152" s="351"/>
      <c r="L152" s="351"/>
      <c r="M152" s="351"/>
      <c r="N152" s="351"/>
      <c r="O152" s="351"/>
      <c r="P152" s="351"/>
      <c r="Q152" s="351"/>
      <c r="R152" s="351"/>
      <c r="S152" s="351"/>
      <c r="T152" s="351"/>
      <c r="U152" s="351"/>
      <c r="V152" s="351"/>
      <c r="W152" s="351"/>
      <c r="X152" s="351"/>
      <c r="Y152" s="351"/>
      <c r="Z152" s="351"/>
      <c r="AA152" s="351"/>
      <c r="AB152" s="351"/>
      <c r="AC152" s="351"/>
      <c r="AD152" s="3"/>
      <c r="AE152" s="346"/>
      <c r="AF152" s="346"/>
      <c r="AG152" s="346"/>
      <c r="AH152" s="346"/>
      <c r="AI152" s="346"/>
    </row>
    <row r="153" spans="1:35" ht="15">
      <c r="A153" s="3"/>
      <c r="B153" s="353"/>
      <c r="C153" s="353"/>
      <c r="D153" s="353"/>
      <c r="E153" s="353"/>
      <c r="F153" s="353"/>
      <c r="H153" s="350"/>
      <c r="I153" s="351"/>
      <c r="J153" s="351"/>
      <c r="K153" s="351"/>
      <c r="L153" s="351"/>
      <c r="M153" s="351"/>
      <c r="N153" s="351"/>
      <c r="O153" s="351"/>
      <c r="P153" s="351"/>
      <c r="Q153" s="351"/>
      <c r="R153" s="351"/>
      <c r="S153" s="351"/>
      <c r="T153" s="351"/>
      <c r="U153" s="351"/>
      <c r="V153" s="351"/>
      <c r="W153" s="351"/>
      <c r="X153" s="351"/>
      <c r="Y153" s="351"/>
      <c r="Z153" s="351"/>
      <c r="AA153" s="351"/>
      <c r="AB153" s="351"/>
      <c r="AC153" s="351"/>
      <c r="AD153" s="3"/>
      <c r="AE153" s="346"/>
      <c r="AF153" s="346"/>
      <c r="AG153" s="346"/>
      <c r="AH153" s="346"/>
      <c r="AI153" s="346"/>
    </row>
    <row r="154" spans="1:35" ht="15">
      <c r="A154" s="3"/>
      <c r="B154" s="353"/>
      <c r="C154" s="353"/>
      <c r="D154" s="353"/>
      <c r="E154" s="353"/>
      <c r="F154" s="353"/>
      <c r="H154" s="350"/>
      <c r="I154" s="351"/>
      <c r="J154" s="351"/>
      <c r="K154" s="351"/>
      <c r="L154" s="351"/>
      <c r="M154" s="351"/>
      <c r="N154" s="351"/>
      <c r="O154" s="351"/>
      <c r="P154" s="351"/>
      <c r="Q154" s="351"/>
      <c r="R154" s="351"/>
      <c r="S154" s="351"/>
      <c r="T154" s="351"/>
      <c r="U154" s="351"/>
      <c r="V154" s="351"/>
      <c r="W154" s="351"/>
      <c r="X154" s="351"/>
      <c r="Y154" s="351"/>
      <c r="Z154" s="351"/>
      <c r="AA154" s="351"/>
      <c r="AB154" s="351"/>
      <c r="AC154" s="351"/>
      <c r="AD154" s="3"/>
      <c r="AE154" s="346"/>
      <c r="AF154" s="346"/>
      <c r="AG154" s="346"/>
      <c r="AH154" s="346"/>
      <c r="AI154" s="346"/>
    </row>
    <row r="155" spans="1:35" ht="15">
      <c r="A155" s="3"/>
      <c r="B155" s="353"/>
      <c r="C155" s="353"/>
      <c r="D155" s="353"/>
      <c r="E155" s="353"/>
      <c r="F155" s="353"/>
      <c r="H155" s="350"/>
      <c r="I155" s="351"/>
      <c r="J155" s="351"/>
      <c r="K155" s="351"/>
      <c r="L155" s="351"/>
      <c r="M155" s="351"/>
      <c r="N155" s="351"/>
      <c r="O155" s="351"/>
      <c r="P155" s="351"/>
      <c r="Q155" s="351"/>
      <c r="R155" s="351"/>
      <c r="S155" s="351"/>
      <c r="T155" s="351"/>
      <c r="U155" s="351"/>
      <c r="V155" s="351"/>
      <c r="W155" s="351"/>
      <c r="X155" s="351"/>
      <c r="Y155" s="351"/>
      <c r="Z155" s="351"/>
      <c r="AA155" s="351"/>
      <c r="AB155" s="351"/>
      <c r="AC155" s="351"/>
      <c r="AD155" s="3"/>
      <c r="AE155" s="346"/>
      <c r="AF155" s="346"/>
      <c r="AG155" s="346"/>
      <c r="AH155" s="346"/>
      <c r="AI155" s="346"/>
    </row>
    <row r="156" spans="1:35" ht="15">
      <c r="A156" s="3"/>
      <c r="B156" s="353"/>
      <c r="C156" s="353"/>
      <c r="D156" s="353"/>
      <c r="E156" s="353"/>
      <c r="F156" s="353"/>
      <c r="H156" s="350"/>
      <c r="I156" s="351"/>
      <c r="J156" s="351"/>
      <c r="K156" s="351"/>
      <c r="L156" s="351"/>
      <c r="M156" s="351"/>
      <c r="N156" s="351"/>
      <c r="O156" s="351"/>
      <c r="P156" s="351"/>
      <c r="Q156" s="351"/>
      <c r="R156" s="351"/>
      <c r="S156" s="351"/>
      <c r="T156" s="351"/>
      <c r="U156" s="351"/>
      <c r="V156" s="351"/>
      <c r="W156" s="351"/>
      <c r="X156" s="351"/>
      <c r="Y156" s="351"/>
      <c r="Z156" s="351"/>
      <c r="AA156" s="351"/>
      <c r="AB156" s="351"/>
      <c r="AC156" s="351"/>
      <c r="AD156" s="3"/>
      <c r="AE156" s="346"/>
      <c r="AF156" s="346"/>
      <c r="AG156" s="346"/>
      <c r="AH156" s="346"/>
      <c r="AI156" s="346"/>
    </row>
    <row r="157" spans="1:35" ht="15">
      <c r="A157" s="3"/>
      <c r="B157" s="353"/>
      <c r="C157" s="353"/>
      <c r="D157" s="353"/>
      <c r="E157" s="353"/>
      <c r="F157" s="353"/>
      <c r="H157" s="350"/>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
      <c r="AE157" s="346"/>
      <c r="AF157" s="346"/>
      <c r="AG157" s="346"/>
      <c r="AH157" s="346"/>
      <c r="AI157" s="346"/>
    </row>
    <row r="158" spans="1:35" ht="15">
      <c r="A158" s="3"/>
      <c r="B158" s="353"/>
      <c r="C158" s="353"/>
      <c r="D158" s="353"/>
      <c r="E158" s="353"/>
      <c r="F158" s="353"/>
      <c r="H158" s="350"/>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
      <c r="AE158" s="346"/>
      <c r="AF158" s="346"/>
      <c r="AG158" s="346"/>
      <c r="AH158" s="346"/>
      <c r="AI158" s="346"/>
    </row>
    <row r="159" spans="1:35" ht="15">
      <c r="A159" s="3"/>
      <c r="B159" s="353"/>
      <c r="C159" s="353"/>
      <c r="D159" s="353"/>
      <c r="E159" s="353"/>
      <c r="F159" s="353"/>
      <c r="H159" s="350"/>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
      <c r="AE159" s="346"/>
      <c r="AF159" s="346"/>
      <c r="AG159" s="346"/>
      <c r="AH159" s="346"/>
      <c r="AI159" s="346"/>
    </row>
    <row r="160" spans="1:35" ht="15">
      <c r="A160" s="3"/>
      <c r="B160" s="353"/>
      <c r="C160" s="353"/>
      <c r="D160" s="353"/>
      <c r="E160" s="353"/>
      <c r="F160" s="353"/>
      <c r="H160" s="350"/>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
      <c r="AE160" s="346"/>
      <c r="AF160" s="346"/>
      <c r="AG160" s="346"/>
      <c r="AH160" s="346"/>
      <c r="AI160" s="346"/>
    </row>
    <row r="161" spans="1:35" ht="15">
      <c r="A161" s="3"/>
      <c r="B161" s="353"/>
      <c r="C161" s="353"/>
      <c r="D161" s="353"/>
      <c r="E161" s="353"/>
      <c r="F161" s="353"/>
      <c r="H161" s="350"/>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
      <c r="AE161" s="346"/>
      <c r="AF161" s="346"/>
      <c r="AG161" s="346"/>
      <c r="AH161" s="346"/>
      <c r="AI161" s="346"/>
    </row>
    <row r="162" spans="1:35" ht="15">
      <c r="A162" s="3"/>
      <c r="B162" s="353"/>
      <c r="C162" s="353"/>
      <c r="D162" s="353"/>
      <c r="E162" s="353"/>
      <c r="F162" s="353"/>
      <c r="H162" s="350"/>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
      <c r="AE162" s="346"/>
      <c r="AF162" s="346"/>
      <c r="AG162" s="346"/>
      <c r="AH162" s="346"/>
      <c r="AI162" s="346"/>
    </row>
    <row r="163" spans="1:35" ht="15">
      <c r="A163" s="3"/>
      <c r="B163" s="353"/>
      <c r="C163" s="353"/>
      <c r="D163" s="353"/>
      <c r="E163" s="353"/>
      <c r="F163" s="353"/>
      <c r="H163" s="350"/>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
      <c r="AE163" s="346"/>
      <c r="AF163" s="346"/>
      <c r="AG163" s="346"/>
      <c r="AH163" s="346"/>
      <c r="AI163" s="346"/>
    </row>
    <row r="164" spans="1:35" ht="15">
      <c r="A164" s="3"/>
      <c r="B164" s="353"/>
      <c r="C164" s="353"/>
      <c r="D164" s="353"/>
      <c r="E164" s="353"/>
      <c r="F164" s="353"/>
      <c r="H164" s="350"/>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
      <c r="AE164" s="346"/>
      <c r="AF164" s="346"/>
      <c r="AG164" s="346"/>
      <c r="AH164" s="346"/>
      <c r="AI164" s="346"/>
    </row>
    <row r="165" spans="1:35" ht="15">
      <c r="A165" s="3"/>
      <c r="B165" s="353"/>
      <c r="C165" s="353"/>
      <c r="D165" s="353"/>
      <c r="E165" s="353"/>
      <c r="F165" s="353"/>
      <c r="H165" s="350"/>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
      <c r="AE165" s="346"/>
      <c r="AF165" s="346"/>
      <c r="AG165" s="346"/>
      <c r="AH165" s="346"/>
      <c r="AI165" s="346"/>
    </row>
    <row r="166" spans="1:35" ht="15">
      <c r="A166" s="3"/>
      <c r="B166" s="353"/>
      <c r="C166" s="353"/>
      <c r="D166" s="353"/>
      <c r="E166" s="353"/>
      <c r="F166" s="353"/>
      <c r="H166" s="350"/>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
      <c r="AE166" s="346"/>
      <c r="AF166" s="346"/>
      <c r="AG166" s="346"/>
      <c r="AH166" s="346"/>
      <c r="AI166" s="346"/>
    </row>
    <row r="167" spans="1:35" ht="15">
      <c r="A167" s="3"/>
      <c r="B167" s="353"/>
      <c r="C167" s="353"/>
      <c r="D167" s="353"/>
      <c r="E167" s="353"/>
      <c r="F167" s="353"/>
      <c r="H167" s="350"/>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
      <c r="AE167" s="346"/>
      <c r="AF167" s="346"/>
      <c r="AG167" s="346"/>
      <c r="AH167" s="346"/>
      <c r="AI167" s="346"/>
    </row>
    <row r="168" spans="1:35" ht="15">
      <c r="A168" s="3"/>
      <c r="B168" s="353"/>
      <c r="C168" s="353"/>
      <c r="D168" s="353"/>
      <c r="E168" s="353"/>
      <c r="F168" s="353"/>
      <c r="H168" s="350"/>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
      <c r="AE168" s="346"/>
      <c r="AF168" s="346"/>
      <c r="AG168" s="346"/>
      <c r="AH168" s="346"/>
      <c r="AI168" s="346"/>
    </row>
    <row r="169" spans="1:35" ht="15">
      <c r="A169" s="3"/>
      <c r="B169" s="353"/>
      <c r="C169" s="353"/>
      <c r="D169" s="353"/>
      <c r="E169" s="353"/>
      <c r="F169" s="353"/>
      <c r="H169" s="350"/>
      <c r="I169" s="351"/>
      <c r="J169" s="351"/>
      <c r="K169" s="351"/>
      <c r="L169" s="351"/>
      <c r="M169" s="351"/>
      <c r="N169" s="351"/>
      <c r="O169" s="351"/>
      <c r="P169" s="351"/>
      <c r="Q169" s="351"/>
      <c r="R169" s="351"/>
      <c r="S169" s="351"/>
      <c r="T169" s="351"/>
      <c r="U169" s="351"/>
      <c r="V169" s="351"/>
      <c r="W169" s="351"/>
      <c r="X169" s="351"/>
      <c r="Y169" s="351"/>
      <c r="Z169" s="351"/>
      <c r="AA169" s="351"/>
      <c r="AB169" s="351"/>
      <c r="AC169" s="351"/>
      <c r="AD169" s="3"/>
      <c r="AE169" s="346"/>
      <c r="AF169" s="346"/>
      <c r="AG169" s="346"/>
      <c r="AH169" s="346"/>
      <c r="AI169" s="346"/>
    </row>
    <row r="170" spans="1:35" ht="15">
      <c r="A170" s="3"/>
      <c r="B170" s="353"/>
      <c r="C170" s="353"/>
      <c r="D170" s="353"/>
      <c r="E170" s="353"/>
      <c r="F170" s="353"/>
      <c r="H170" s="350"/>
      <c r="I170" s="351"/>
      <c r="J170" s="351"/>
      <c r="K170" s="351"/>
      <c r="L170" s="351"/>
      <c r="M170" s="351"/>
      <c r="N170" s="351"/>
      <c r="O170" s="351"/>
      <c r="P170" s="351"/>
      <c r="Q170" s="351"/>
      <c r="R170" s="351"/>
      <c r="S170" s="351"/>
      <c r="T170" s="351"/>
      <c r="U170" s="351"/>
      <c r="V170" s="351"/>
      <c r="W170" s="351"/>
      <c r="X170" s="351"/>
      <c r="Y170" s="351"/>
      <c r="Z170" s="351"/>
      <c r="AA170" s="351"/>
      <c r="AB170" s="351"/>
      <c r="AC170" s="351"/>
      <c r="AD170" s="3"/>
      <c r="AE170" s="346"/>
      <c r="AF170" s="346"/>
      <c r="AG170" s="346"/>
      <c r="AH170" s="346"/>
      <c r="AI170" s="346"/>
    </row>
    <row r="171" spans="1:35" ht="15">
      <c r="A171" s="3"/>
      <c r="B171" s="353"/>
      <c r="C171" s="353"/>
      <c r="D171" s="353"/>
      <c r="E171" s="353"/>
      <c r="F171" s="353"/>
      <c r="H171" s="350"/>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
      <c r="AE171" s="346"/>
      <c r="AF171" s="346"/>
      <c r="AG171" s="346"/>
      <c r="AH171" s="346"/>
      <c r="AI171" s="346"/>
    </row>
  </sheetData>
  <sheetProtection password="CEEF" sheet="1" selectLockedCells="1"/>
  <mergeCells count="392">
    <mergeCell ref="B78:F78"/>
    <mergeCell ref="H78:AC78"/>
    <mergeCell ref="AE78:AI78"/>
    <mergeCell ref="AK2:AP2"/>
    <mergeCell ref="AK7:AP7"/>
    <mergeCell ref="B74:F74"/>
    <mergeCell ref="H74:AC74"/>
    <mergeCell ref="AE74:AI74"/>
    <mergeCell ref="B76:F76"/>
    <mergeCell ref="H76:AC76"/>
    <mergeCell ref="AE76:AI76"/>
    <mergeCell ref="B70:F70"/>
    <mergeCell ref="H70:AC70"/>
    <mergeCell ref="AE70:AI70"/>
    <mergeCell ref="B72:F72"/>
    <mergeCell ref="H72:AC72"/>
    <mergeCell ref="AE72:AI72"/>
    <mergeCell ref="B66:F66"/>
    <mergeCell ref="H66:AC66"/>
    <mergeCell ref="AE66:AI66"/>
    <mergeCell ref="B68:F68"/>
    <mergeCell ref="H68:AC68"/>
    <mergeCell ref="AE68:AI68"/>
    <mergeCell ref="B62:F62"/>
    <mergeCell ref="H62:AC62"/>
    <mergeCell ref="AE62:AI62"/>
    <mergeCell ref="B64:F64"/>
    <mergeCell ref="H64:AC64"/>
    <mergeCell ref="AE64:AI64"/>
    <mergeCell ref="B58:F58"/>
    <mergeCell ref="H58:AC58"/>
    <mergeCell ref="AE58:AI58"/>
    <mergeCell ref="B60:F60"/>
    <mergeCell ref="H60:AC60"/>
    <mergeCell ref="AE60:AI60"/>
    <mergeCell ref="B54:F54"/>
    <mergeCell ref="H54:AC54"/>
    <mergeCell ref="AE54:AI54"/>
    <mergeCell ref="B56:F56"/>
    <mergeCell ref="H56:AC56"/>
    <mergeCell ref="AE56:AI56"/>
    <mergeCell ref="B50:F50"/>
    <mergeCell ref="H50:AC50"/>
    <mergeCell ref="AE50:AI50"/>
    <mergeCell ref="B52:F52"/>
    <mergeCell ref="H52:AC52"/>
    <mergeCell ref="AE52:AI52"/>
    <mergeCell ref="B46:F46"/>
    <mergeCell ref="H46:AC46"/>
    <mergeCell ref="AE46:AI46"/>
    <mergeCell ref="B48:F48"/>
    <mergeCell ref="H48:AC48"/>
    <mergeCell ref="AE48:AI48"/>
    <mergeCell ref="B42:F42"/>
    <mergeCell ref="H42:AC42"/>
    <mergeCell ref="AE42:AI42"/>
    <mergeCell ref="B44:F44"/>
    <mergeCell ref="H44:AC44"/>
    <mergeCell ref="AE44:AI44"/>
    <mergeCell ref="B38:F38"/>
    <mergeCell ref="H38:AC38"/>
    <mergeCell ref="AE38:AI38"/>
    <mergeCell ref="B40:F40"/>
    <mergeCell ref="H40:AC40"/>
    <mergeCell ref="AE40:AI40"/>
    <mergeCell ref="B34:F34"/>
    <mergeCell ref="H34:AC34"/>
    <mergeCell ref="AE34:AI34"/>
    <mergeCell ref="B36:F36"/>
    <mergeCell ref="H36:AC36"/>
    <mergeCell ref="AE36:AI36"/>
    <mergeCell ref="B30:F30"/>
    <mergeCell ref="H30:AC30"/>
    <mergeCell ref="AE30:AI30"/>
    <mergeCell ref="B32:F32"/>
    <mergeCell ref="H32:AC32"/>
    <mergeCell ref="AE32:AI32"/>
    <mergeCell ref="B26:F26"/>
    <mergeCell ref="H26:AC26"/>
    <mergeCell ref="AE26:AI26"/>
    <mergeCell ref="B28:F28"/>
    <mergeCell ref="H28:AC28"/>
    <mergeCell ref="AE28:AI28"/>
    <mergeCell ref="B18:F18"/>
    <mergeCell ref="H18:AC18"/>
    <mergeCell ref="AE18:AI18"/>
    <mergeCell ref="B24:F24"/>
    <mergeCell ref="H24:AC24"/>
    <mergeCell ref="AE24:AI24"/>
    <mergeCell ref="B20:F20"/>
    <mergeCell ref="H20:AC20"/>
    <mergeCell ref="AE20:AI20"/>
    <mergeCell ref="B22:F22"/>
    <mergeCell ref="B14:F14"/>
    <mergeCell ref="H14:AC14"/>
    <mergeCell ref="AE14:AI14"/>
    <mergeCell ref="B16:F16"/>
    <mergeCell ref="H16:AC16"/>
    <mergeCell ref="AE16:AI16"/>
    <mergeCell ref="B10:F10"/>
    <mergeCell ref="H10:AC10"/>
    <mergeCell ref="AE10:AI10"/>
    <mergeCell ref="B12:F12"/>
    <mergeCell ref="H12:AC12"/>
    <mergeCell ref="AE12:AI12"/>
    <mergeCell ref="A5:F6"/>
    <mergeCell ref="H5:AC6"/>
    <mergeCell ref="AE5:AJ6"/>
    <mergeCell ref="B8:F8"/>
    <mergeCell ref="H8:AC8"/>
    <mergeCell ref="AE8:AI8"/>
    <mergeCell ref="A2:AG2"/>
    <mergeCell ref="AH2:AJ2"/>
    <mergeCell ref="A4:F4"/>
    <mergeCell ref="G4:L4"/>
    <mergeCell ref="M4:R4"/>
    <mergeCell ref="S4:X4"/>
    <mergeCell ref="Y4:AD4"/>
    <mergeCell ref="AE4:AJ4"/>
    <mergeCell ref="B80:F80"/>
    <mergeCell ref="H80:AC80"/>
    <mergeCell ref="AE80:AI80"/>
    <mergeCell ref="B81:F81"/>
    <mergeCell ref="H81:AC81"/>
    <mergeCell ref="AE81:AI81"/>
    <mergeCell ref="B83:F83"/>
    <mergeCell ref="H83:AC83"/>
    <mergeCell ref="AE83:AI83"/>
    <mergeCell ref="B82:F82"/>
    <mergeCell ref="H82:AC82"/>
    <mergeCell ref="AE82:AI82"/>
    <mergeCell ref="B84:F84"/>
    <mergeCell ref="H84:AC84"/>
    <mergeCell ref="AE84:AI84"/>
    <mergeCell ref="B85:F85"/>
    <mergeCell ref="H85:AC85"/>
    <mergeCell ref="AE85:AI85"/>
    <mergeCell ref="B87:F87"/>
    <mergeCell ref="H87:AC87"/>
    <mergeCell ref="AE87:AI87"/>
    <mergeCell ref="B86:F86"/>
    <mergeCell ref="H86:AC86"/>
    <mergeCell ref="AE86:AI86"/>
    <mergeCell ref="B88:F88"/>
    <mergeCell ref="H88:AC88"/>
    <mergeCell ref="AE88:AI88"/>
    <mergeCell ref="B89:F89"/>
    <mergeCell ref="H89:AC89"/>
    <mergeCell ref="AE89:AI89"/>
    <mergeCell ref="B91:F91"/>
    <mergeCell ref="H91:AC91"/>
    <mergeCell ref="AE91:AI91"/>
    <mergeCell ref="B90:F90"/>
    <mergeCell ref="H90:AC90"/>
    <mergeCell ref="AE90:AI90"/>
    <mergeCell ref="B92:F92"/>
    <mergeCell ref="H92:AC92"/>
    <mergeCell ref="AE92:AI92"/>
    <mergeCell ref="B93:F93"/>
    <mergeCell ref="H93:AC93"/>
    <mergeCell ref="AE93:AI93"/>
    <mergeCell ref="B95:F95"/>
    <mergeCell ref="H95:AC95"/>
    <mergeCell ref="AE95:AI95"/>
    <mergeCell ref="B94:F94"/>
    <mergeCell ref="H94:AC94"/>
    <mergeCell ref="AE94:AI94"/>
    <mergeCell ref="B96:F96"/>
    <mergeCell ref="H96:AC96"/>
    <mergeCell ref="AE96:AI96"/>
    <mergeCell ref="B97:F97"/>
    <mergeCell ref="H97:AC97"/>
    <mergeCell ref="AE97:AI97"/>
    <mergeCell ref="B99:F99"/>
    <mergeCell ref="H99:AC99"/>
    <mergeCell ref="AE99:AI99"/>
    <mergeCell ref="B98:F98"/>
    <mergeCell ref="H98:AC98"/>
    <mergeCell ref="AE98:AI98"/>
    <mergeCell ref="B100:F100"/>
    <mergeCell ref="H100:AC100"/>
    <mergeCell ref="AE100:AI100"/>
    <mergeCell ref="B101:F101"/>
    <mergeCell ref="H101:AC101"/>
    <mergeCell ref="AE101:AI101"/>
    <mergeCell ref="B103:F103"/>
    <mergeCell ref="H103:AC103"/>
    <mergeCell ref="AE103:AI103"/>
    <mergeCell ref="B102:F102"/>
    <mergeCell ref="H102:AC102"/>
    <mergeCell ref="AE102:AI102"/>
    <mergeCell ref="B104:F104"/>
    <mergeCell ref="H104:AC104"/>
    <mergeCell ref="AE104:AI104"/>
    <mergeCell ref="B105:F105"/>
    <mergeCell ref="H105:AC105"/>
    <mergeCell ref="AE105:AI105"/>
    <mergeCell ref="B107:F107"/>
    <mergeCell ref="H107:AC107"/>
    <mergeCell ref="AE107:AI107"/>
    <mergeCell ref="B106:F106"/>
    <mergeCell ref="H106:AC106"/>
    <mergeCell ref="AE106:AI106"/>
    <mergeCell ref="B110:F110"/>
    <mergeCell ref="H110:AC110"/>
    <mergeCell ref="AE110:AI110"/>
    <mergeCell ref="B108:F108"/>
    <mergeCell ref="H108:AC108"/>
    <mergeCell ref="AE108:AI108"/>
    <mergeCell ref="B109:F109"/>
    <mergeCell ref="H109:AC109"/>
    <mergeCell ref="AE109:AI109"/>
    <mergeCell ref="B113:F113"/>
    <mergeCell ref="H113:AC113"/>
    <mergeCell ref="AE113:AI113"/>
    <mergeCell ref="B111:F111"/>
    <mergeCell ref="H111:AC111"/>
    <mergeCell ref="AE111:AI111"/>
    <mergeCell ref="B118:F118"/>
    <mergeCell ref="H118:AC118"/>
    <mergeCell ref="AE118:AI118"/>
    <mergeCell ref="B114:F114"/>
    <mergeCell ref="H114:AC114"/>
    <mergeCell ref="AE114:AI114"/>
    <mergeCell ref="A117:AJ117"/>
    <mergeCell ref="B119:F119"/>
    <mergeCell ref="H119:AC119"/>
    <mergeCell ref="AE119:AI119"/>
    <mergeCell ref="B120:F120"/>
    <mergeCell ref="H120:AC120"/>
    <mergeCell ref="AE120:AI120"/>
    <mergeCell ref="B121:F121"/>
    <mergeCell ref="H121:AC121"/>
    <mergeCell ref="AE121:AI121"/>
    <mergeCell ref="B122:F122"/>
    <mergeCell ref="H122:AC122"/>
    <mergeCell ref="AE122:AI122"/>
    <mergeCell ref="B123:F123"/>
    <mergeCell ref="H123:AC123"/>
    <mergeCell ref="AE123:AI123"/>
    <mergeCell ref="B124:F124"/>
    <mergeCell ref="H124:AC124"/>
    <mergeCell ref="AE124:AI124"/>
    <mergeCell ref="B125:F125"/>
    <mergeCell ref="H125:AC125"/>
    <mergeCell ref="AE125:AI125"/>
    <mergeCell ref="B126:F126"/>
    <mergeCell ref="H126:AC126"/>
    <mergeCell ref="AE126:AI126"/>
    <mergeCell ref="B127:F127"/>
    <mergeCell ref="H127:AC127"/>
    <mergeCell ref="AE127:AI127"/>
    <mergeCell ref="B128:F128"/>
    <mergeCell ref="H128:AC128"/>
    <mergeCell ref="AE128:AI128"/>
    <mergeCell ref="B129:F129"/>
    <mergeCell ref="H129:AC129"/>
    <mergeCell ref="AE129:AI129"/>
    <mergeCell ref="B130:F130"/>
    <mergeCell ref="H130:AC130"/>
    <mergeCell ref="AE130:AI130"/>
    <mergeCell ref="B131:F131"/>
    <mergeCell ref="H131:AC131"/>
    <mergeCell ref="AE131:AI131"/>
    <mergeCell ref="B132:F132"/>
    <mergeCell ref="H132:AC132"/>
    <mergeCell ref="AE132:AI132"/>
    <mergeCell ref="B133:F133"/>
    <mergeCell ref="H133:AC133"/>
    <mergeCell ref="AE133:AI133"/>
    <mergeCell ref="B134:F134"/>
    <mergeCell ref="H134:AC134"/>
    <mergeCell ref="AE134:AI134"/>
    <mergeCell ref="B135:F135"/>
    <mergeCell ref="H135:AC135"/>
    <mergeCell ref="AE135:AI135"/>
    <mergeCell ref="B136:F136"/>
    <mergeCell ref="H136:AC136"/>
    <mergeCell ref="AE136:AI136"/>
    <mergeCell ref="B137:F137"/>
    <mergeCell ref="H137:AC137"/>
    <mergeCell ref="AE137:AI137"/>
    <mergeCell ref="B138:F138"/>
    <mergeCell ref="H138:AC138"/>
    <mergeCell ref="AE138:AI138"/>
    <mergeCell ref="B139:F139"/>
    <mergeCell ref="H139:AC139"/>
    <mergeCell ref="AE139:AI139"/>
    <mergeCell ref="B140:F140"/>
    <mergeCell ref="H140:AC140"/>
    <mergeCell ref="AE140:AI140"/>
    <mergeCell ref="B141:F141"/>
    <mergeCell ref="H141:AC141"/>
    <mergeCell ref="AE141:AI141"/>
    <mergeCell ref="B142:F142"/>
    <mergeCell ref="H142:AC142"/>
    <mergeCell ref="AE142:AI142"/>
    <mergeCell ref="B143:F143"/>
    <mergeCell ref="H143:AC143"/>
    <mergeCell ref="AE143:AI143"/>
    <mergeCell ref="B144:F144"/>
    <mergeCell ref="H144:AC144"/>
    <mergeCell ref="AE144:AI144"/>
    <mergeCell ref="B145:F145"/>
    <mergeCell ref="H145:AC145"/>
    <mergeCell ref="AE145:AI145"/>
    <mergeCell ref="B146:F146"/>
    <mergeCell ref="H146:AC146"/>
    <mergeCell ref="AE146:AI146"/>
    <mergeCell ref="B147:F147"/>
    <mergeCell ref="H147:AC147"/>
    <mergeCell ref="AE147:AI147"/>
    <mergeCell ref="B148:F148"/>
    <mergeCell ref="H148:AC148"/>
    <mergeCell ref="AE148:AI148"/>
    <mergeCell ref="B149:F149"/>
    <mergeCell ref="H149:AC149"/>
    <mergeCell ref="AE149:AI149"/>
    <mergeCell ref="B150:F150"/>
    <mergeCell ref="H150:AC150"/>
    <mergeCell ref="AE150:AI150"/>
    <mergeCell ref="B151:F151"/>
    <mergeCell ref="H151:AC151"/>
    <mergeCell ref="AE151:AI151"/>
    <mergeCell ref="B152:F152"/>
    <mergeCell ref="H152:AC152"/>
    <mergeCell ref="AE152:AI152"/>
    <mergeCell ref="B153:F153"/>
    <mergeCell ref="H153:AC153"/>
    <mergeCell ref="AE153:AI153"/>
    <mergeCell ref="B154:F154"/>
    <mergeCell ref="H154:AC154"/>
    <mergeCell ref="AE154:AI154"/>
    <mergeCell ref="B155:F155"/>
    <mergeCell ref="H155:AC155"/>
    <mergeCell ref="AE155:AI155"/>
    <mergeCell ref="B156:F156"/>
    <mergeCell ref="H156:AC156"/>
    <mergeCell ref="AE156:AI156"/>
    <mergeCell ref="B157:F157"/>
    <mergeCell ref="H157:AC157"/>
    <mergeCell ref="AE157:AI157"/>
    <mergeCell ref="B158:F158"/>
    <mergeCell ref="H158:AC158"/>
    <mergeCell ref="AE158:AI158"/>
    <mergeCell ref="B159:F159"/>
    <mergeCell ref="H159:AC159"/>
    <mergeCell ref="AE159:AI159"/>
    <mergeCell ref="B160:F160"/>
    <mergeCell ref="H160:AC160"/>
    <mergeCell ref="AE160:AI160"/>
    <mergeCell ref="B161:F161"/>
    <mergeCell ref="H161:AC161"/>
    <mergeCell ref="AE161:AI161"/>
    <mergeCell ref="B162:F162"/>
    <mergeCell ref="H162:AC162"/>
    <mergeCell ref="AE162:AI162"/>
    <mergeCell ref="B163:F163"/>
    <mergeCell ref="H163:AC163"/>
    <mergeCell ref="AE163:AI163"/>
    <mergeCell ref="B164:F164"/>
    <mergeCell ref="H164:AC164"/>
    <mergeCell ref="AE164:AI164"/>
    <mergeCell ref="B168:F168"/>
    <mergeCell ref="H168:AC168"/>
    <mergeCell ref="AE168:AI168"/>
    <mergeCell ref="B165:F165"/>
    <mergeCell ref="H165:AC165"/>
    <mergeCell ref="AE165:AI165"/>
    <mergeCell ref="B166:F166"/>
    <mergeCell ref="H166:AC166"/>
    <mergeCell ref="AE166:AI166"/>
    <mergeCell ref="A1:AJ1"/>
    <mergeCell ref="B169:F169"/>
    <mergeCell ref="H169:AC169"/>
    <mergeCell ref="AE169:AI169"/>
    <mergeCell ref="B170:F170"/>
    <mergeCell ref="H170:AC170"/>
    <mergeCell ref="AE170:AI170"/>
    <mergeCell ref="B167:F167"/>
    <mergeCell ref="H167:AC167"/>
    <mergeCell ref="AE167:AI167"/>
    <mergeCell ref="H22:AC22"/>
    <mergeCell ref="AE22:AI22"/>
    <mergeCell ref="B112:F112"/>
    <mergeCell ref="H112:AC112"/>
    <mergeCell ref="AE112:AI112"/>
    <mergeCell ref="B171:F171"/>
    <mergeCell ref="H171:AC171"/>
    <mergeCell ref="AE171:AI171"/>
    <mergeCell ref="A115:AJ115"/>
    <mergeCell ref="A116:AJ1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14" sqref="B14"/>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Patch</dc:creator>
  <cp:keywords/>
  <dc:description/>
  <cp:lastModifiedBy>sargent</cp:lastModifiedBy>
  <cp:lastPrinted>2013-01-09T03:12:17Z</cp:lastPrinted>
  <dcterms:created xsi:type="dcterms:W3CDTF">2012-04-14T13:10:22Z</dcterms:created>
  <dcterms:modified xsi:type="dcterms:W3CDTF">2019-12-05T04:02:32Z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