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ba\Documents\Marks Files\Brewing\Calculators\"/>
    </mc:Choice>
  </mc:AlternateContent>
  <bookViews>
    <workbookView xWindow="0" yWindow="0" windowWidth="19170" windowHeight="7830"/>
  </bookViews>
  <sheets>
    <sheet name="Display " sheetId="2" r:id="rId1"/>
    <sheet name="Sheet1" sheetId="5" r:id="rId2"/>
    <sheet name="Notes" sheetId="3" r:id="rId3"/>
    <sheet name="Behind the scene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4" i="4" l="1"/>
  <c r="W24" i="4"/>
  <c r="X23" i="4"/>
  <c r="W23" i="4"/>
  <c r="X22" i="4"/>
  <c r="W22" i="4"/>
  <c r="X21" i="4"/>
  <c r="W21" i="4"/>
  <c r="X20" i="4"/>
  <c r="W20" i="4"/>
  <c r="X15" i="4"/>
  <c r="W15" i="4"/>
  <c r="O24" i="4"/>
  <c r="O23" i="4"/>
  <c r="O22" i="4"/>
  <c r="S22" i="4" s="1"/>
  <c r="O21" i="4"/>
  <c r="S21" i="4" s="1"/>
  <c r="O20" i="4"/>
  <c r="O18" i="4"/>
  <c r="O17" i="4"/>
  <c r="O16" i="4"/>
  <c r="O15" i="4"/>
  <c r="O19" i="4"/>
  <c r="Q7" i="4"/>
  <c r="T24" i="4"/>
  <c r="T23" i="4"/>
  <c r="T22" i="4"/>
  <c r="T21" i="4"/>
  <c r="T20" i="4"/>
  <c r="T18" i="4"/>
  <c r="T17" i="4"/>
  <c r="T16" i="4"/>
  <c r="T15" i="4"/>
  <c r="S24" i="4"/>
  <c r="R24" i="4"/>
  <c r="S23" i="4"/>
  <c r="R23" i="4"/>
  <c r="R21" i="4"/>
  <c r="S20" i="4"/>
  <c r="R20" i="4"/>
  <c r="S15" i="4"/>
  <c r="R15" i="4"/>
  <c r="B24" i="4"/>
  <c r="B23" i="4"/>
  <c r="B22" i="4"/>
  <c r="B21" i="4"/>
  <c r="B20" i="4"/>
  <c r="B19" i="4"/>
  <c r="B17" i="4"/>
  <c r="B16" i="4"/>
  <c r="B15" i="4"/>
  <c r="B18" i="4"/>
  <c r="R22" i="4" l="1"/>
  <c r="V13" i="4"/>
  <c r="E10" i="4"/>
  <c r="I10" i="4" s="1"/>
  <c r="C9" i="5" l="1"/>
  <c r="B6" i="5"/>
  <c r="C34" i="2" l="1"/>
  <c r="D34" i="2" s="1"/>
  <c r="D35" i="2" l="1"/>
  <c r="E3" i="4"/>
  <c r="Z13" i="4"/>
  <c r="C4" i="4"/>
  <c r="C25" i="2" l="1"/>
  <c r="C24" i="4"/>
  <c r="C23" i="4"/>
  <c r="C22" i="4"/>
  <c r="C21" i="4"/>
  <c r="C20" i="4"/>
  <c r="C19" i="4"/>
  <c r="C18" i="4"/>
  <c r="C17" i="4"/>
  <c r="C16" i="4"/>
  <c r="C15" i="4"/>
  <c r="AD13" i="4"/>
  <c r="Q13" i="4"/>
  <c r="N13" i="4"/>
  <c r="C11" i="4"/>
  <c r="E4" i="4" s="1"/>
  <c r="E11" i="4"/>
  <c r="E9" i="4"/>
  <c r="I9" i="4" s="1"/>
  <c r="J10" i="4" s="1"/>
  <c r="C9" i="4"/>
  <c r="C10" i="4" s="1"/>
  <c r="C6" i="4"/>
  <c r="C8" i="4" s="1"/>
  <c r="G5" i="4"/>
  <c r="F22" i="2"/>
  <c r="F21" i="2"/>
  <c r="F20" i="2"/>
  <c r="F19" i="2"/>
  <c r="F18" i="2"/>
  <c r="F17" i="2"/>
  <c r="F16" i="2"/>
  <c r="F15" i="2"/>
  <c r="F14" i="2"/>
  <c r="F13" i="2"/>
  <c r="T19" i="4" l="1"/>
  <c r="U24" i="4"/>
  <c r="U22" i="4"/>
  <c r="U20" i="4"/>
  <c r="U18" i="4"/>
  <c r="U16" i="4"/>
  <c r="U23" i="4"/>
  <c r="U21" i="4"/>
  <c r="U19" i="4"/>
  <c r="U17" i="4"/>
  <c r="U15" i="4"/>
  <c r="E5" i="4"/>
  <c r="E15" i="4"/>
  <c r="E19" i="4"/>
  <c r="G9" i="4"/>
  <c r="H9" i="4" s="1"/>
  <c r="C5" i="4"/>
  <c r="C7" i="4" s="1"/>
  <c r="E23" i="4"/>
  <c r="E17" i="4"/>
  <c r="E21" i="4"/>
  <c r="G10" i="4"/>
  <c r="H10" i="4" s="1"/>
  <c r="K10" i="4" s="1"/>
  <c r="E16" i="4"/>
  <c r="E20" i="4"/>
  <c r="E24" i="4"/>
  <c r="E18" i="4"/>
  <c r="A18" i="4" s="1"/>
  <c r="E22" i="4"/>
  <c r="I11" i="4"/>
  <c r="J11" i="4" s="1"/>
  <c r="F23" i="2"/>
  <c r="C23" i="2"/>
  <c r="AC15" i="4" l="1"/>
  <c r="AC24" i="4"/>
  <c r="AC23" i="4"/>
  <c r="AC22" i="4"/>
  <c r="AC21" i="4"/>
  <c r="AC20" i="4"/>
  <c r="AC19" i="4"/>
  <c r="AC18" i="4"/>
  <c r="AC17" i="4"/>
  <c r="AC16" i="4"/>
  <c r="A22" i="4"/>
  <c r="A16" i="4"/>
  <c r="A23" i="4"/>
  <c r="A15" i="4"/>
  <c r="A24" i="4"/>
  <c r="A21" i="4"/>
  <c r="A20" i="4"/>
  <c r="A17" i="4"/>
  <c r="A19" i="4"/>
  <c r="E6" i="4"/>
  <c r="I6" i="4" s="1"/>
  <c r="J12" i="4"/>
  <c r="D15" i="4"/>
  <c r="D22" i="4"/>
  <c r="H19" i="4"/>
  <c r="I19" i="4" s="1"/>
  <c r="H15" i="4"/>
  <c r="I15" i="4" s="1"/>
  <c r="D20" i="4"/>
  <c r="D17" i="4"/>
  <c r="D21" i="4"/>
  <c r="H24" i="4"/>
  <c r="I24" i="4" s="1"/>
  <c r="H18" i="4"/>
  <c r="I18" i="4" s="1"/>
  <c r="H20" i="4"/>
  <c r="I20" i="4" s="1"/>
  <c r="H17" i="4"/>
  <c r="I17" i="4" s="1"/>
  <c r="D23" i="4"/>
  <c r="D18" i="4"/>
  <c r="H21" i="4"/>
  <c r="I21" i="4" s="1"/>
  <c r="H23" i="4"/>
  <c r="I23" i="4" s="1"/>
  <c r="D19" i="4"/>
  <c r="H22" i="4"/>
  <c r="I22" i="4" s="1"/>
  <c r="D24" i="4"/>
  <c r="D16" i="4"/>
  <c r="H16" i="4"/>
  <c r="I16" i="4" s="1"/>
  <c r="E7" i="4"/>
  <c r="K11" i="4"/>
  <c r="L11" i="4" s="1"/>
  <c r="K9" i="4"/>
  <c r="L10" i="4" s="1"/>
  <c r="V23" i="4" l="1"/>
  <c r="V21" i="4"/>
  <c r="V19" i="4"/>
  <c r="V17" i="4"/>
  <c r="V15" i="4"/>
  <c r="AD24" i="4"/>
  <c r="AD23" i="4"/>
  <c r="AD22" i="4"/>
  <c r="AD21" i="4"/>
  <c r="AD20" i="4"/>
  <c r="AD19" i="4"/>
  <c r="AD18" i="4"/>
  <c r="AD17" i="4"/>
  <c r="AD16" i="4"/>
  <c r="V24" i="4"/>
  <c r="V22" i="4"/>
  <c r="V20" i="4"/>
  <c r="V18" i="4"/>
  <c r="V16" i="4"/>
  <c r="Y24" i="4"/>
  <c r="Y23" i="4"/>
  <c r="Y22" i="4"/>
  <c r="Y21" i="4"/>
  <c r="Y20" i="4"/>
  <c r="Y19" i="4"/>
  <c r="Y18" i="4"/>
  <c r="Y17" i="4"/>
  <c r="Y16" i="4"/>
  <c r="Y15" i="4"/>
  <c r="K7" i="4"/>
  <c r="E8" i="4"/>
  <c r="I8" i="4" s="1"/>
  <c r="J9" i="4" s="1"/>
  <c r="K6" i="4"/>
  <c r="L12" i="4"/>
  <c r="F17" i="4"/>
  <c r="G17" i="4" s="1"/>
  <c r="I7" i="4"/>
  <c r="J7" i="4" s="1"/>
  <c r="F22" i="4"/>
  <c r="F20" i="4"/>
  <c r="F23" i="4"/>
  <c r="F15" i="4"/>
  <c r="F24" i="4"/>
  <c r="F21" i="4"/>
  <c r="F16" i="4"/>
  <c r="F19" i="4"/>
  <c r="F18" i="4"/>
  <c r="Z24" i="4" l="1"/>
  <c r="Z23" i="4"/>
  <c r="Z22" i="4"/>
  <c r="Z21" i="4"/>
  <c r="Z20" i="4"/>
  <c r="Z19" i="4"/>
  <c r="Z18" i="4"/>
  <c r="Z17" i="4"/>
  <c r="Z16" i="4"/>
  <c r="K8" i="4"/>
  <c r="L8" i="4" s="1"/>
  <c r="L7" i="4"/>
  <c r="P23" i="4"/>
  <c r="P15" i="4"/>
  <c r="P17" i="4"/>
  <c r="P22" i="4"/>
  <c r="P20" i="4"/>
  <c r="P24" i="4"/>
  <c r="P21" i="4"/>
  <c r="P19" i="4"/>
  <c r="J8" i="4"/>
  <c r="P16" i="4"/>
  <c r="P18" i="4"/>
  <c r="J17" i="4"/>
  <c r="L17" i="4" s="1"/>
  <c r="J18" i="4"/>
  <c r="L18" i="4" s="1"/>
  <c r="G18" i="4"/>
  <c r="K18" i="4" s="1"/>
  <c r="M18" i="4" s="1"/>
  <c r="R18" i="4" s="1"/>
  <c r="W18" i="4" s="1"/>
  <c r="G24" i="4"/>
  <c r="K24" i="4" s="1"/>
  <c r="J24" i="4"/>
  <c r="L24" i="4" s="1"/>
  <c r="J22" i="4"/>
  <c r="L22" i="4" s="1"/>
  <c r="G22" i="4"/>
  <c r="K22" i="4" s="1"/>
  <c r="J19" i="4"/>
  <c r="L19" i="4" s="1"/>
  <c r="G19" i="4"/>
  <c r="K19" i="4" s="1"/>
  <c r="M19" i="4" s="1"/>
  <c r="R19" i="4" s="1"/>
  <c r="W19" i="4" s="1"/>
  <c r="J15" i="4"/>
  <c r="L15" i="4" s="1"/>
  <c r="G15" i="4"/>
  <c r="K15" i="4" s="1"/>
  <c r="M15" i="4" s="1"/>
  <c r="K17" i="4"/>
  <c r="G16" i="4"/>
  <c r="K16" i="4" s="1"/>
  <c r="M16" i="4" s="1"/>
  <c r="R16" i="4" s="1"/>
  <c r="W16" i="4" s="1"/>
  <c r="J16" i="4"/>
  <c r="L16" i="4" s="1"/>
  <c r="G23" i="4"/>
  <c r="K23" i="4" s="1"/>
  <c r="J23" i="4"/>
  <c r="L23" i="4" s="1"/>
  <c r="G21" i="4"/>
  <c r="K21" i="4" s="1"/>
  <c r="J21" i="4"/>
  <c r="L21" i="4" s="1"/>
  <c r="G20" i="4"/>
  <c r="K20" i="4" s="1"/>
  <c r="J20" i="4"/>
  <c r="L20" i="4" s="1"/>
  <c r="Z15" i="4"/>
  <c r="AD15" i="4"/>
  <c r="AE18" i="4" l="1"/>
  <c r="AE15" i="4"/>
  <c r="L9" i="4"/>
  <c r="Q22" i="4" s="1"/>
  <c r="N17" i="4"/>
  <c r="S17" i="4" s="1"/>
  <c r="X17" i="4" s="1"/>
  <c r="M17" i="4"/>
  <c r="R17" i="4" s="1"/>
  <c r="W17" i="4" s="1"/>
  <c r="N22" i="4"/>
  <c r="M22" i="4"/>
  <c r="N20" i="4"/>
  <c r="M20" i="4"/>
  <c r="N15" i="4"/>
  <c r="N18" i="4"/>
  <c r="S18" i="4" s="1"/>
  <c r="X18" i="4" s="1"/>
  <c r="N16" i="4"/>
  <c r="S16" i="4" s="1"/>
  <c r="X16" i="4" s="1"/>
  <c r="M21" i="4"/>
  <c r="N21" i="4"/>
  <c r="N19" i="4"/>
  <c r="S19" i="4" s="1"/>
  <c r="X19" i="4" s="1"/>
  <c r="AA15" i="4" l="1"/>
  <c r="Q21" i="4"/>
  <c r="AA18" i="4"/>
  <c r="AE22" i="4"/>
  <c r="AA22" i="4"/>
  <c r="AE19" i="4"/>
  <c r="AA19" i="4"/>
  <c r="AE21" i="4"/>
  <c r="AA21" i="4"/>
  <c r="AA20" i="4"/>
  <c r="AE20" i="4"/>
  <c r="AA16" i="4"/>
  <c r="AE16" i="4"/>
  <c r="AE17" i="4"/>
  <c r="AA17" i="4"/>
  <c r="Q16" i="4"/>
  <c r="Q20" i="4"/>
  <c r="Q24" i="4"/>
  <c r="Q23" i="4"/>
  <c r="Q18" i="4"/>
  <c r="Q19" i="4"/>
  <c r="Q17" i="4"/>
  <c r="Q15" i="4"/>
  <c r="AB22" i="4" l="1"/>
  <c r="AF22" i="4"/>
  <c r="G20" i="2" s="1"/>
  <c r="I20" i="2" s="1"/>
  <c r="AF15" i="4"/>
  <c r="AB15" i="4"/>
  <c r="AF16" i="4"/>
  <c r="AB16" i="4"/>
  <c r="AF17" i="4"/>
  <c r="G15" i="2" s="1"/>
  <c r="I15" i="2" s="1"/>
  <c r="AB17" i="4"/>
  <c r="AF20" i="4"/>
  <c r="AB20" i="4"/>
  <c r="AF19" i="4"/>
  <c r="G17" i="2" s="1"/>
  <c r="I17" i="2" s="1"/>
  <c r="AB19" i="4"/>
  <c r="AF21" i="4"/>
  <c r="AB21" i="4"/>
  <c r="AB18" i="4"/>
  <c r="AF18" i="4"/>
  <c r="G16" i="2" s="1"/>
  <c r="I16" i="2" s="1"/>
  <c r="G13" i="2" l="1"/>
  <c r="I13" i="2" s="1"/>
  <c r="AH15" i="4"/>
  <c r="G18" i="2"/>
  <c r="I18" i="2" s="1"/>
  <c r="G14" i="2"/>
  <c r="I14" i="2" s="1"/>
  <c r="G19" i="2"/>
  <c r="I19" i="2" s="1"/>
  <c r="M23" i="4" l="1"/>
  <c r="N23" i="4"/>
  <c r="M24" i="4"/>
  <c r="N24" i="4"/>
  <c r="AA24" i="4" l="1"/>
  <c r="AE24" i="4"/>
  <c r="AE23" i="4"/>
  <c r="AA23" i="4"/>
  <c r="N25" i="4"/>
  <c r="AF23" i="4" l="1"/>
  <c r="AB23" i="4"/>
  <c r="AF24" i="4"/>
  <c r="G22" i="2" s="1"/>
  <c r="I22" i="2" s="1"/>
  <c r="AB24" i="4"/>
  <c r="S25" i="4"/>
  <c r="AF25" i="4" l="1"/>
  <c r="G21" i="2"/>
  <c r="I21" i="2" s="1"/>
  <c r="AB25" i="4"/>
  <c r="G23" i="2" l="1"/>
  <c r="G25" i="2" s="1"/>
  <c r="H17" i="2" l="1"/>
  <c r="H20" i="2"/>
  <c r="H14" i="2"/>
  <c r="H19" i="2"/>
  <c r="H18" i="2"/>
  <c r="H13" i="2"/>
  <c r="H15" i="2"/>
  <c r="H16" i="2"/>
  <c r="H22" i="2"/>
  <c r="H21" i="2"/>
</calcChain>
</file>

<file path=xl/sharedStrings.xml><?xml version="1.0" encoding="utf-8"?>
<sst xmlns="http://schemas.openxmlformats.org/spreadsheetml/2006/main" count="126" uniqueCount="103">
  <si>
    <t>MSLP (hPa)</t>
  </si>
  <si>
    <t>Ea1</t>
  </si>
  <si>
    <t>Ea2</t>
  </si>
  <si>
    <t>R</t>
  </si>
  <si>
    <t>A1</t>
  </si>
  <si>
    <t>A2</t>
  </si>
  <si>
    <t>k1</t>
  </si>
  <si>
    <t>k2</t>
  </si>
  <si>
    <t>pH</t>
  </si>
  <si>
    <t>pH end</t>
  </si>
  <si>
    <t>User Inputs</t>
  </si>
  <si>
    <t>Wort oP start</t>
  </si>
  <si>
    <t>Wort pH start</t>
  </si>
  <si>
    <t>Process Factors</t>
  </si>
  <si>
    <t>pH drop</t>
  </si>
  <si>
    <t>default</t>
  </si>
  <si>
    <t>Cooling time</t>
  </si>
  <si>
    <t>Initial utilisation %</t>
  </si>
  <si>
    <t>Vigour %</t>
  </si>
  <si>
    <t>Model Factors</t>
  </si>
  <si>
    <t>pH slope util</t>
  </si>
  <si>
    <t>pH slope Ea2</t>
  </si>
  <si>
    <t>conc factor</t>
  </si>
  <si>
    <t>Boiloff rate % / hr</t>
  </si>
  <si>
    <t>Hop additions</t>
  </si>
  <si>
    <t>Make up vol</t>
  </si>
  <si>
    <t>Make up temp</t>
  </si>
  <si>
    <t>alpha</t>
  </si>
  <si>
    <t>time</t>
  </si>
  <si>
    <t>Whirlpool exit temp is temp of wort at end of whirlpool / steep phase</t>
  </si>
  <si>
    <t>Cooling type</t>
  </si>
  <si>
    <t>IBU</t>
  </si>
  <si>
    <t>Total</t>
  </si>
  <si>
    <t>Cstartboil</t>
  </si>
  <si>
    <t>Cendboil</t>
  </si>
  <si>
    <t>Cmakeup</t>
  </si>
  <si>
    <t>V end</t>
  </si>
  <si>
    <t>pH start</t>
  </si>
  <si>
    <t>Tstartboil</t>
  </si>
  <si>
    <t>Tendboil</t>
  </si>
  <si>
    <t>Tstartwhirl</t>
  </si>
  <si>
    <t>Tendwhirl</t>
  </si>
  <si>
    <t>Tcomp</t>
  </si>
  <si>
    <t>Netpressure</t>
  </si>
  <si>
    <t>Volume Start (l)</t>
  </si>
  <si>
    <t>Boil Time (min)</t>
  </si>
  <si>
    <t>Altitude (m)</t>
  </si>
  <si>
    <t>Talt</t>
  </si>
  <si>
    <t>Vendboil</t>
  </si>
  <si>
    <t>Cooling end temp C</t>
  </si>
  <si>
    <t>Tendcool</t>
  </si>
  <si>
    <t>weight (g)</t>
  </si>
  <si>
    <t>% IBU</t>
  </si>
  <si>
    <t>Net utilisation</t>
  </si>
  <si>
    <t>logmean</t>
  </si>
  <si>
    <t>double</t>
  </si>
  <si>
    <t>Ea20</t>
  </si>
  <si>
    <t>T</t>
  </si>
  <si>
    <t>[iso]</t>
  </si>
  <si>
    <t>[alpha]</t>
  </si>
  <si>
    <t>logmeank1</t>
  </si>
  <si>
    <t>logmeank2</t>
  </si>
  <si>
    <t>Boil</t>
  </si>
  <si>
    <t>boil</t>
  </si>
  <si>
    <t>WP</t>
  </si>
  <si>
    <t>Cool1</t>
  </si>
  <si>
    <t>Cool2</t>
  </si>
  <si>
    <t>Play here at your own peril.</t>
  </si>
  <si>
    <t xml:space="preserve">Vigour % = rated kettle vigour compared to normal commercial boil. </t>
  </si>
  <si>
    <t>1=heat exchanger, 2 = cool in place</t>
  </si>
  <si>
    <t>Volume end</t>
  </si>
  <si>
    <t>Calculator assumes type 90 pellets; if adding as flowers, discount weight by 10%</t>
  </si>
  <si>
    <t xml:space="preserve"> eg for 60min boil, hops added at beginning should be entered as "60"</t>
  </si>
  <si>
    <t>If cooling in place: set cooling end temp to 50 degrees and enter time taken to reach this.</t>
  </si>
  <si>
    <t>If using heat exchanger: set cooling end temp to hot side temp of last wort.</t>
  </si>
  <si>
    <t>Alpha (mg)</t>
  </si>
  <si>
    <t>Warning: Calculator does not take solubility limit of alpha acids into account. Beware of any IBU value above ~ 100.</t>
  </si>
  <si>
    <t>ave MW wort</t>
  </si>
  <si>
    <t>T vigour</t>
  </si>
  <si>
    <t xml:space="preserve">To adjust for individual conditions: </t>
  </si>
  <si>
    <t>First, enter estimates of process parameters</t>
  </si>
  <si>
    <t>Next, measure (or guess) IBU of several brews</t>
  </si>
  <si>
    <t>Adjust "initial utilisation" to reduce difference.</t>
  </si>
  <si>
    <t>NOTES</t>
  </si>
  <si>
    <t>Cstart</t>
  </si>
  <si>
    <t>TF (Temperature Factor) =</t>
  </si>
  <si>
    <t>((Elevation in feet/550)*0.02)+1</t>
  </si>
  <si>
    <t>utilisation = (1-elevation in metres/8382)</t>
  </si>
  <si>
    <t>utilisation</t>
  </si>
  <si>
    <t>Hop stand time</t>
  </si>
  <si>
    <t>Stand end temp C</t>
  </si>
  <si>
    <t>Hopstand</t>
  </si>
  <si>
    <t>Tendstand</t>
  </si>
  <si>
    <t>Enter 0 for flameout hops</t>
  </si>
  <si>
    <t>Boil hop addition time should be entered as minutes before flameout,</t>
  </si>
  <si>
    <t>Hops added after flameout are entered as negative minutes, allowing hop stand additions as needed.</t>
  </si>
  <si>
    <t>Whirlpool  time</t>
  </si>
  <si>
    <t>Whirlpool end temp C</t>
  </si>
  <si>
    <t>POR</t>
  </si>
  <si>
    <t>Ella</t>
  </si>
  <si>
    <t>Vic Secret</t>
  </si>
  <si>
    <t>Galaxy</t>
  </si>
  <si>
    <t>Motueka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</si>
</sst>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0"/>
    <numFmt numFmtId="165" formatCode="0.00000"/>
    <numFmt numFmtId="166" formatCode="0.0"/>
    <numFmt numFmtId="167" formatCode="0.0%"/>
    <numFmt numFmtId="168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0" fontId="0" fillId="0" borderId="0" xfId="0" applyFill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8" fontId="0" fillId="0" borderId="0" xfId="0" applyNumberFormat="1"/>
    <xf numFmtId="1" fontId="0" fillId="0" borderId="0" xfId="0" applyNumberFormat="1"/>
    <xf numFmtId="11" fontId="0" fillId="0" borderId="0" xfId="0" applyNumberFormat="1"/>
    <xf numFmtId="0" fontId="0" fillId="0" borderId="8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9" fontId="0" fillId="0" borderId="4" xfId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9" fontId="0" fillId="0" borderId="18" xfId="1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7" fontId="0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0" fontId="0" fillId="2" borderId="3" xfId="0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166" fontId="0" fillId="0" borderId="22" xfId="0" applyNumberFormat="1" applyBorder="1" applyAlignment="1">
      <alignment horizontal="center"/>
    </xf>
    <xf numFmtId="0" fontId="3" fillId="0" borderId="0" xfId="0" applyFont="1" applyAlignment="1">
      <alignment vertical="center"/>
    </xf>
    <xf numFmtId="9" fontId="0" fillId="0" borderId="0" xfId="1" applyFont="1" applyAlignment="1">
      <alignment horizontal="center"/>
    </xf>
    <xf numFmtId="0" fontId="0" fillId="0" borderId="23" xfId="0" applyFill="1" applyBorder="1" applyAlignment="1">
      <alignment horizontal="center"/>
    </xf>
    <xf numFmtId="167" fontId="4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tabSelected="1" topLeftCell="B1" zoomScale="85" zoomScaleNormal="85" workbookViewId="0">
      <selection activeCell="K18" sqref="K18"/>
    </sheetView>
  </sheetViews>
  <sheetFormatPr defaultRowHeight="15" x14ac:dyDescent="0.25"/>
  <cols>
    <col min="1" max="1" width="3.5703125" customWidth="1"/>
    <col min="2" max="2" width="28.7109375" customWidth="1"/>
    <col min="3" max="3" width="18.7109375" customWidth="1"/>
    <col min="4" max="4" width="20.85546875" customWidth="1"/>
    <col min="5" max="5" width="13.28515625" customWidth="1"/>
    <col min="6" max="6" width="15" customWidth="1"/>
    <col min="7" max="7" width="19.28515625" customWidth="1"/>
    <col min="8" max="8" width="16.85546875" customWidth="1"/>
    <col min="9" max="10" width="10.85546875" customWidth="1"/>
    <col min="11" max="11" width="13.140625" customWidth="1"/>
    <col min="12" max="12" width="9.28515625" bestFit="1" customWidth="1"/>
    <col min="13" max="13" width="12.85546875" customWidth="1"/>
    <col min="14" max="14" width="10" bestFit="1" customWidth="1"/>
    <col min="15" max="15" width="13.42578125" bestFit="1" customWidth="1"/>
    <col min="16" max="16" width="9.28515625" bestFit="1" customWidth="1"/>
    <col min="17" max="17" width="12.28515625" bestFit="1" customWidth="1"/>
    <col min="19" max="19" width="11.28515625" customWidth="1"/>
    <col min="20" max="20" width="11.42578125" customWidth="1"/>
    <col min="23" max="23" width="10.7109375" customWidth="1"/>
    <col min="24" max="24" width="11.42578125" customWidth="1"/>
    <col min="27" max="28" width="11" customWidth="1"/>
    <col min="31" max="31" width="10.7109375" customWidth="1"/>
    <col min="32" max="32" width="10.85546875" customWidth="1"/>
  </cols>
  <sheetData>
    <row r="1" spans="2:10" ht="15.75" thickBot="1" x14ac:dyDescent="0.3">
      <c r="B1" s="49" t="s">
        <v>10</v>
      </c>
      <c r="C1" s="7"/>
      <c r="D1" s="49" t="s">
        <v>13</v>
      </c>
      <c r="E1" s="7"/>
      <c r="F1" s="7" t="s">
        <v>15</v>
      </c>
      <c r="G1" s="49" t="s">
        <v>19</v>
      </c>
      <c r="H1" s="7"/>
      <c r="I1" s="7" t="s">
        <v>15</v>
      </c>
      <c r="J1" s="7"/>
    </row>
    <row r="2" spans="2:10" x14ac:dyDescent="0.25">
      <c r="B2" s="7" t="s">
        <v>44</v>
      </c>
      <c r="C2" s="28">
        <v>27</v>
      </c>
      <c r="D2" s="7" t="s">
        <v>0</v>
      </c>
      <c r="E2" s="32">
        <v>1013</v>
      </c>
      <c r="F2" s="7">
        <v>1013</v>
      </c>
      <c r="G2" s="7" t="s">
        <v>17</v>
      </c>
      <c r="H2" s="47">
        <v>75</v>
      </c>
      <c r="I2" s="7">
        <v>75</v>
      </c>
      <c r="J2" s="46"/>
    </row>
    <row r="3" spans="2:10" x14ac:dyDescent="0.25">
      <c r="B3" s="7" t="s">
        <v>11</v>
      </c>
      <c r="C3" s="29">
        <v>13</v>
      </c>
      <c r="D3" s="7" t="s">
        <v>46</v>
      </c>
      <c r="E3" s="33">
        <v>0</v>
      </c>
      <c r="F3" s="7">
        <v>0</v>
      </c>
      <c r="G3" s="7" t="s">
        <v>18</v>
      </c>
      <c r="H3" s="33">
        <v>50</v>
      </c>
      <c r="I3" s="7">
        <v>100</v>
      </c>
      <c r="J3" s="7"/>
    </row>
    <row r="4" spans="2:10" x14ac:dyDescent="0.25">
      <c r="B4" s="7" t="s">
        <v>12</v>
      </c>
      <c r="C4" s="30">
        <v>5.3</v>
      </c>
      <c r="D4" s="7" t="s">
        <v>14</v>
      </c>
      <c r="E4" s="34">
        <v>0.2</v>
      </c>
      <c r="F4" s="7">
        <v>0.2</v>
      </c>
      <c r="G4" s="7" t="s">
        <v>20</v>
      </c>
      <c r="H4" s="34">
        <v>5.2</v>
      </c>
      <c r="I4" s="7">
        <v>5.2</v>
      </c>
      <c r="J4" s="7"/>
    </row>
    <row r="5" spans="2:10" x14ac:dyDescent="0.25">
      <c r="B5" s="7" t="s">
        <v>45</v>
      </c>
      <c r="C5" s="30">
        <v>60</v>
      </c>
      <c r="D5" s="7" t="s">
        <v>23</v>
      </c>
      <c r="E5" s="34">
        <v>10</v>
      </c>
      <c r="F5" s="7">
        <v>10</v>
      </c>
      <c r="G5" s="7" t="s">
        <v>21</v>
      </c>
      <c r="H5" s="34">
        <v>17</v>
      </c>
      <c r="I5" s="7">
        <v>17</v>
      </c>
      <c r="J5" s="7"/>
    </row>
    <row r="6" spans="2:10" x14ac:dyDescent="0.25">
      <c r="B6" s="7" t="s">
        <v>25</v>
      </c>
      <c r="C6" s="30">
        <v>0.7</v>
      </c>
      <c r="D6" s="7" t="s">
        <v>26</v>
      </c>
      <c r="E6" s="34">
        <v>20</v>
      </c>
      <c r="F6" s="6"/>
      <c r="G6" s="7" t="s">
        <v>22</v>
      </c>
      <c r="H6" s="34">
        <v>1.038</v>
      </c>
      <c r="I6" s="7">
        <v>1.038</v>
      </c>
      <c r="J6" s="7"/>
    </row>
    <row r="7" spans="2:10" ht="15.75" thickBot="1" x14ac:dyDescent="0.3">
      <c r="B7" s="7" t="s">
        <v>96</v>
      </c>
      <c r="C7" s="30">
        <v>10</v>
      </c>
      <c r="D7" s="7" t="s">
        <v>97</v>
      </c>
      <c r="E7" s="30">
        <v>80</v>
      </c>
      <c r="F7" s="7"/>
      <c r="G7" s="7" t="s">
        <v>77</v>
      </c>
      <c r="H7" s="36">
        <v>320</v>
      </c>
      <c r="I7" s="7"/>
      <c r="J7" s="7"/>
    </row>
    <row r="8" spans="2:10" x14ac:dyDescent="0.25">
      <c r="B8" s="7" t="s">
        <v>89</v>
      </c>
      <c r="C8" s="53">
        <v>20</v>
      </c>
      <c r="D8" s="7" t="s">
        <v>90</v>
      </c>
      <c r="E8" s="53">
        <v>78</v>
      </c>
      <c r="F8" s="7"/>
      <c r="G8" s="7"/>
      <c r="H8" s="37"/>
      <c r="I8" s="7"/>
      <c r="J8" s="7"/>
    </row>
    <row r="9" spans="2:10" ht="15.75" thickBot="1" x14ac:dyDescent="0.3">
      <c r="B9" s="7" t="s">
        <v>16</v>
      </c>
      <c r="C9" s="31">
        <v>20</v>
      </c>
      <c r="D9" s="7" t="s">
        <v>49</v>
      </c>
      <c r="E9" s="35">
        <v>50</v>
      </c>
      <c r="F9" s="7"/>
      <c r="G9" s="7"/>
      <c r="H9" s="37"/>
      <c r="I9" s="7"/>
      <c r="J9" s="7"/>
    </row>
    <row r="10" spans="2:10" ht="15.75" thickBot="1" x14ac:dyDescent="0.3">
      <c r="B10" s="7"/>
      <c r="C10" s="7"/>
      <c r="D10" s="7" t="s">
        <v>30</v>
      </c>
      <c r="E10" s="36">
        <v>2</v>
      </c>
      <c r="F10" s="46" t="s">
        <v>69</v>
      </c>
      <c r="G10" s="7"/>
      <c r="H10" s="7"/>
      <c r="I10" s="7"/>
      <c r="J10" s="7"/>
    </row>
    <row r="11" spans="2:10" ht="15.75" thickBot="1" x14ac:dyDescent="0.3">
      <c r="B11" s="7"/>
      <c r="C11" s="7"/>
      <c r="D11" s="7"/>
      <c r="E11" s="7"/>
      <c r="F11" s="7"/>
      <c r="G11" s="7"/>
      <c r="H11" s="7"/>
      <c r="I11" s="7"/>
      <c r="J11" s="7"/>
    </row>
    <row r="12" spans="2:10" ht="15.75" thickBot="1" x14ac:dyDescent="0.3">
      <c r="B12" s="38" t="s">
        <v>24</v>
      </c>
      <c r="C12" s="39" t="s">
        <v>51</v>
      </c>
      <c r="D12" s="39" t="s">
        <v>27</v>
      </c>
      <c r="E12" s="40" t="s">
        <v>28</v>
      </c>
      <c r="F12" s="41" t="s">
        <v>75</v>
      </c>
      <c r="G12" s="42" t="s">
        <v>31</v>
      </c>
      <c r="H12" s="43" t="s">
        <v>52</v>
      </c>
      <c r="I12" s="7" t="s">
        <v>88</v>
      </c>
      <c r="J12" s="7"/>
    </row>
    <row r="13" spans="2:10" x14ac:dyDescent="0.25">
      <c r="B13" s="15" t="s">
        <v>98</v>
      </c>
      <c r="C13" s="9">
        <v>20</v>
      </c>
      <c r="D13" s="9">
        <v>9.1</v>
      </c>
      <c r="E13" s="10">
        <v>60</v>
      </c>
      <c r="F13" s="16">
        <f t="shared" ref="F13:F22" si="0">D13*C13*10</f>
        <v>1820</v>
      </c>
      <c r="G13" s="17">
        <f>IF(E$10=1,'Behind the scenes'!AB15/'Behind the scenes'!C$8,(IF(E$10=2,'Behind the scenes'!AF15/'Behind the scenes'!C$8,"check")))</f>
        <v>17.024787451133459</v>
      </c>
      <c r="H13" s="18">
        <f t="shared" ref="H13:H22" si="1">G13/G$23</f>
        <v>0.3972593481034733</v>
      </c>
      <c r="I13" s="54">
        <f>G13*C$25/F13</f>
        <v>0.23385697048260246</v>
      </c>
      <c r="J13" s="7"/>
    </row>
    <row r="14" spans="2:10" x14ac:dyDescent="0.25">
      <c r="B14" s="19" t="s">
        <v>101</v>
      </c>
      <c r="C14" s="8">
        <v>25</v>
      </c>
      <c r="D14" s="8">
        <v>15.4</v>
      </c>
      <c r="E14" s="11">
        <v>5</v>
      </c>
      <c r="F14" s="20">
        <f t="shared" si="0"/>
        <v>3850</v>
      </c>
      <c r="G14" s="21">
        <f>IF(E$10=1,'Behind the scenes'!AB16/'Behind the scenes'!C$8,(IF(E$10=2,'Behind the scenes'!AF16/'Behind the scenes'!C$8,"cooling")))</f>
        <v>9.7220702847379918</v>
      </c>
      <c r="H14" s="22">
        <f t="shared" si="1"/>
        <v>0.22685647704071812</v>
      </c>
      <c r="I14" s="54">
        <f>G14*C$25/F14</f>
        <v>6.3130326524272667E-2</v>
      </c>
      <c r="J14" s="7"/>
    </row>
    <row r="15" spans="2:10" x14ac:dyDescent="0.25">
      <c r="B15" s="19" t="s">
        <v>100</v>
      </c>
      <c r="C15" s="8">
        <v>25</v>
      </c>
      <c r="D15" s="8">
        <v>17.100000000000001</v>
      </c>
      <c r="E15" s="11">
        <v>0</v>
      </c>
      <c r="F15" s="20">
        <f t="shared" si="0"/>
        <v>4275.0000000000009</v>
      </c>
      <c r="G15" s="21">
        <f>IF(E$10=1,'Behind the scenes'!AB17/'Behind the scenes'!C$8,(IF(E$10=2,'Behind the scenes'!AF17/'Behind the scenes'!C$8,"entry")))</f>
        <v>6.6385059709438892</v>
      </c>
      <c r="H15" s="22">
        <f t="shared" si="1"/>
        <v>0.15490405163458337</v>
      </c>
      <c r="I15" s="45">
        <f t="shared" ref="I15:I22" si="2">G15*C$25/F15</f>
        <v>3.8821672344701103E-2</v>
      </c>
      <c r="J15" s="7"/>
    </row>
    <row r="16" spans="2:10" x14ac:dyDescent="0.25">
      <c r="B16" s="19" t="s">
        <v>102</v>
      </c>
      <c r="C16" s="8">
        <v>50</v>
      </c>
      <c r="D16" s="8">
        <v>6.8</v>
      </c>
      <c r="E16" s="11">
        <v>-5</v>
      </c>
      <c r="F16" s="20">
        <f t="shared" si="0"/>
        <v>3400</v>
      </c>
      <c r="G16" s="21">
        <f>IF(E$10=1,'Behind the scenes'!AB18/'Behind the scenes'!C$8,(IF(E$10=2,'Behind the scenes'!AF18/'Behind the scenes'!C$8,"")))</f>
        <v>3.9262571272573608</v>
      </c>
      <c r="H16" s="22">
        <f t="shared" si="1"/>
        <v>9.1615965916627753E-2</v>
      </c>
      <c r="I16" s="45">
        <f t="shared" si="2"/>
        <v>2.886953770042177E-2</v>
      </c>
      <c r="J16" s="7"/>
    </row>
    <row r="17" spans="2:10" x14ac:dyDescent="0.25">
      <c r="B17" s="19" t="s">
        <v>99</v>
      </c>
      <c r="C17" s="8">
        <v>50</v>
      </c>
      <c r="D17" s="8">
        <v>14.9</v>
      </c>
      <c r="E17" s="11">
        <v>-10</v>
      </c>
      <c r="F17" s="20">
        <f t="shared" si="0"/>
        <v>7450</v>
      </c>
      <c r="G17" s="21">
        <f>IF(E$10=1,'Behind the scenes'!AB19/'Behind the scenes'!C$8,(IF(E$10=2,'Behind the scenes'!AF19/'Behind the scenes'!C$8,"")))</f>
        <v>5.5439783926901534</v>
      </c>
      <c r="H17" s="22">
        <f t="shared" si="1"/>
        <v>0.12936415497118017</v>
      </c>
      <c r="I17" s="45">
        <f t="shared" si="2"/>
        <v>1.8603954337886419E-2</v>
      </c>
      <c r="J17" s="7"/>
    </row>
    <row r="18" spans="2:10" x14ac:dyDescent="0.25">
      <c r="B18" s="19"/>
      <c r="C18" s="8"/>
      <c r="D18" s="8"/>
      <c r="E18" s="11">
        <v>0</v>
      </c>
      <c r="F18" s="20">
        <f t="shared" si="0"/>
        <v>0</v>
      </c>
      <c r="G18" s="21">
        <f>IF(E$10=1,'Behind the scenes'!AB20/'Behind the scenes'!C$8,(IF(E$10=2,'Behind the scenes'!AF20/'Behind the scenes'!C$8,"")))</f>
        <v>0</v>
      </c>
      <c r="H18" s="22">
        <f t="shared" si="1"/>
        <v>0</v>
      </c>
      <c r="I18" s="52" t="e">
        <f t="shared" si="2"/>
        <v>#DIV/0!</v>
      </c>
      <c r="J18" s="7"/>
    </row>
    <row r="19" spans="2:10" x14ac:dyDescent="0.25">
      <c r="B19" s="19"/>
      <c r="C19" s="8"/>
      <c r="D19" s="8"/>
      <c r="E19" s="11"/>
      <c r="F19" s="20">
        <f t="shared" si="0"/>
        <v>0</v>
      </c>
      <c r="G19" s="21">
        <f>IF(E$10=1,'Behind the scenes'!AB21/'Behind the scenes'!C$8,(IF(E$10=2,'Behind the scenes'!AF21/'Behind the scenes'!C$8,"")))</f>
        <v>0</v>
      </c>
      <c r="H19" s="22">
        <f t="shared" si="1"/>
        <v>0</v>
      </c>
      <c r="I19" s="52" t="e">
        <f t="shared" si="2"/>
        <v>#DIV/0!</v>
      </c>
      <c r="J19" s="7"/>
    </row>
    <row r="20" spans="2:10" x14ac:dyDescent="0.25">
      <c r="B20" s="19"/>
      <c r="C20" s="8"/>
      <c r="D20" s="8"/>
      <c r="E20" s="11"/>
      <c r="F20" s="20">
        <f t="shared" si="0"/>
        <v>0</v>
      </c>
      <c r="G20" s="21">
        <f>IF(E$10=1,'Behind the scenes'!AB22/'Behind the scenes'!C$8,(IF(E$10=2,'Behind the scenes'!AF22/'Behind the scenes'!C$8,"")))</f>
        <v>0</v>
      </c>
      <c r="H20" s="22">
        <f t="shared" si="1"/>
        <v>0</v>
      </c>
      <c r="I20" s="52" t="e">
        <f t="shared" si="2"/>
        <v>#DIV/0!</v>
      </c>
      <c r="J20" s="7"/>
    </row>
    <row r="21" spans="2:10" x14ac:dyDescent="0.25">
      <c r="B21" s="19"/>
      <c r="C21" s="8"/>
      <c r="D21" s="8"/>
      <c r="E21" s="11"/>
      <c r="F21" s="20">
        <f t="shared" si="0"/>
        <v>0</v>
      </c>
      <c r="G21" s="21">
        <f>IF(E$10=1,'Behind the scenes'!AB23/'Behind the scenes'!C$8,(IF(E$10=2,'Behind the scenes'!AF23/'Behind the scenes'!C$8,"")))</f>
        <v>0</v>
      </c>
      <c r="H21" s="22">
        <f t="shared" si="1"/>
        <v>0</v>
      </c>
      <c r="I21" s="52" t="e">
        <f t="shared" si="2"/>
        <v>#DIV/0!</v>
      </c>
      <c r="J21" s="7"/>
    </row>
    <row r="22" spans="2:10" ht="15.75" thickBot="1" x14ac:dyDescent="0.3">
      <c r="B22" s="23"/>
      <c r="C22" s="24"/>
      <c r="D22" s="24"/>
      <c r="E22" s="25"/>
      <c r="F22" s="26">
        <f t="shared" si="0"/>
        <v>0</v>
      </c>
      <c r="G22" s="50">
        <f>IF(E$10=1,'Behind the scenes'!AB24/'Behind the scenes'!C$8,(IF(E$10=2,'Behind the scenes'!AF24/'Behind the scenes'!C$8,"")))</f>
        <v>0</v>
      </c>
      <c r="H22" s="27">
        <f t="shared" si="1"/>
        <v>0</v>
      </c>
      <c r="I22" s="52" t="e">
        <f t="shared" si="2"/>
        <v>#DIV/0!</v>
      </c>
      <c r="J22" s="7"/>
    </row>
    <row r="23" spans="2:10" ht="15.75" thickBot="1" x14ac:dyDescent="0.3">
      <c r="B23" s="38" t="s">
        <v>32</v>
      </c>
      <c r="C23" s="39">
        <f>SUM(C13:C22)</f>
        <v>170</v>
      </c>
      <c r="D23" s="39"/>
      <c r="E23" s="40"/>
      <c r="F23" s="44">
        <f>SUM(F13:F22)</f>
        <v>20795</v>
      </c>
      <c r="G23" s="48">
        <f>SUM(G13:G22)+0.0000001</f>
        <v>42.855599326762849</v>
      </c>
      <c r="H23" s="41"/>
      <c r="I23" s="7"/>
      <c r="J23" s="7"/>
    </row>
    <row r="24" spans="2:10" ht="15.75" thickBot="1" x14ac:dyDescent="0.3">
      <c r="B24" s="7"/>
      <c r="C24" s="7"/>
      <c r="D24" s="7"/>
      <c r="E24" s="7"/>
      <c r="F24" s="7"/>
      <c r="G24" s="7"/>
      <c r="H24" s="7"/>
      <c r="I24" s="7"/>
      <c r="J24" s="7"/>
    </row>
    <row r="25" spans="2:10" ht="15.75" thickBot="1" x14ac:dyDescent="0.3">
      <c r="B25" s="7" t="s">
        <v>70</v>
      </c>
      <c r="C25" s="41">
        <f>C2*(1-E5*C5/6000)+C6</f>
        <v>25</v>
      </c>
      <c r="D25" s="7"/>
      <c r="E25" s="7"/>
      <c r="F25" s="7" t="s">
        <v>53</v>
      </c>
      <c r="G25" s="45">
        <f>G23*C25/F23</f>
        <v>5.1521518786682916E-2</v>
      </c>
      <c r="H25" s="7"/>
      <c r="I25" s="7"/>
      <c r="J25" s="7"/>
    </row>
    <row r="26" spans="2:10" x14ac:dyDescent="0.25">
      <c r="B26" s="7"/>
      <c r="C26" s="7"/>
      <c r="D26" s="7"/>
      <c r="E26" s="7"/>
      <c r="F26" s="7"/>
      <c r="G26" s="7"/>
      <c r="H26" s="7"/>
      <c r="I26" s="7"/>
      <c r="J26" s="7"/>
    </row>
    <row r="27" spans="2:10" x14ac:dyDescent="0.25">
      <c r="B27" s="5" t="s">
        <v>76</v>
      </c>
      <c r="C27" s="7"/>
      <c r="D27" s="7"/>
      <c r="E27" s="7"/>
      <c r="F27" s="7"/>
      <c r="G27" s="7"/>
      <c r="I27" s="7"/>
      <c r="J27" s="7"/>
    </row>
    <row r="28" spans="2:10" x14ac:dyDescent="0.25">
      <c r="I28" s="7"/>
      <c r="J28" s="7"/>
    </row>
    <row r="33" spans="2:4" x14ac:dyDescent="0.25">
      <c r="C33">
        <v>2.6</v>
      </c>
    </row>
    <row r="34" spans="2:4" x14ac:dyDescent="0.25">
      <c r="B34">
        <v>1100</v>
      </c>
      <c r="C34">
        <f>(B34-1000)*C33</f>
        <v>260</v>
      </c>
      <c r="D34">
        <f>C34*100/B34</f>
        <v>23.636363636363637</v>
      </c>
    </row>
    <row r="35" spans="2:4" x14ac:dyDescent="0.25">
      <c r="D35">
        <f>C34/10*(1-(B34-1000)/1000)</f>
        <v>23.400000000000002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9" sqref="C9"/>
    </sheetView>
  </sheetViews>
  <sheetFormatPr defaultRowHeight="15" x14ac:dyDescent="0.25"/>
  <sheetData>
    <row r="1" spans="1:3" x14ac:dyDescent="0.25">
      <c r="B1" s="51" t="s">
        <v>85</v>
      </c>
    </row>
    <row r="2" spans="1:3" x14ac:dyDescent="0.25">
      <c r="B2" s="51" t="s">
        <v>86</v>
      </c>
    </row>
    <row r="4" spans="1:3" x14ac:dyDescent="0.25">
      <c r="B4" t="s">
        <v>87</v>
      </c>
    </row>
    <row r="6" spans="1:3" x14ac:dyDescent="0.25">
      <c r="B6">
        <f>550*0.3048*50</f>
        <v>8382</v>
      </c>
    </row>
    <row r="8" spans="1:3" x14ac:dyDescent="0.25">
      <c r="A8">
        <v>0</v>
      </c>
    </row>
    <row r="9" spans="1:3" x14ac:dyDescent="0.25">
      <c r="A9">
        <v>700</v>
      </c>
      <c r="B9">
        <v>92.9</v>
      </c>
      <c r="C9">
        <f>1-A9/B6</f>
        <v>0.91648771176330235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workbookViewId="0">
      <selection activeCell="B12" sqref="B12"/>
    </sheetView>
  </sheetViews>
  <sheetFormatPr defaultRowHeight="15" x14ac:dyDescent="0.25"/>
  <cols>
    <col min="2" max="2" width="11.5703125" customWidth="1"/>
  </cols>
  <sheetData>
    <row r="1" spans="2:2" x14ac:dyDescent="0.25">
      <c r="B1" t="s">
        <v>24</v>
      </c>
    </row>
    <row r="3" spans="2:2" x14ac:dyDescent="0.25">
      <c r="B3" t="s">
        <v>71</v>
      </c>
    </row>
    <row r="4" spans="2:2" x14ac:dyDescent="0.25">
      <c r="B4" t="s">
        <v>83</v>
      </c>
    </row>
    <row r="6" spans="2:2" x14ac:dyDescent="0.25">
      <c r="B6" t="s">
        <v>94</v>
      </c>
    </row>
    <row r="7" spans="2:2" x14ac:dyDescent="0.25">
      <c r="B7" t="s">
        <v>72</v>
      </c>
    </row>
    <row r="9" spans="2:2" x14ac:dyDescent="0.25">
      <c r="B9" t="s">
        <v>93</v>
      </c>
    </row>
    <row r="11" spans="2:2" x14ac:dyDescent="0.25">
      <c r="B11" t="s">
        <v>95</v>
      </c>
    </row>
    <row r="13" spans="2:2" x14ac:dyDescent="0.25">
      <c r="B13" t="s">
        <v>68</v>
      </c>
    </row>
    <row r="15" spans="2:2" x14ac:dyDescent="0.25">
      <c r="B15" t="s">
        <v>29</v>
      </c>
    </row>
    <row r="17" spans="2:12" x14ac:dyDescent="0.25">
      <c r="B17" t="s">
        <v>73</v>
      </c>
    </row>
    <row r="18" spans="2:12" x14ac:dyDescent="0.25">
      <c r="B18" t="s">
        <v>74</v>
      </c>
    </row>
    <row r="20" spans="2:12" x14ac:dyDescent="0.25">
      <c r="B20" t="s">
        <v>79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t="s">
        <v>80</v>
      </c>
    </row>
    <row r="22" spans="2:12" x14ac:dyDescent="0.25">
      <c r="B22" t="s">
        <v>81</v>
      </c>
    </row>
    <row r="23" spans="2:12" x14ac:dyDescent="0.25">
      <c r="B2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topLeftCell="H1" zoomScale="75" zoomScaleNormal="75" workbookViewId="0">
      <selection activeCell="Z27" sqref="Z27"/>
    </sheetView>
  </sheetViews>
  <sheetFormatPr defaultRowHeight="15" x14ac:dyDescent="0.25"/>
  <cols>
    <col min="1" max="1" width="16.5703125" customWidth="1"/>
    <col min="2" max="2" width="9.85546875" customWidth="1"/>
    <col min="3" max="3" width="9.28515625" bestFit="1" customWidth="1"/>
    <col min="4" max="4" width="13.7109375" customWidth="1"/>
    <col min="5" max="6" width="9.28515625" bestFit="1" customWidth="1"/>
    <col min="7" max="7" width="11.140625" customWidth="1"/>
    <col min="8" max="8" width="13.42578125" bestFit="1" customWidth="1"/>
    <col min="9" max="9" width="9.42578125" bestFit="1" customWidth="1"/>
    <col min="10" max="11" width="9.28515625" bestFit="1" customWidth="1"/>
    <col min="12" max="12" width="9.85546875" bestFit="1" customWidth="1"/>
    <col min="13" max="14" width="9.28515625" bestFit="1" customWidth="1"/>
    <col min="15" max="15" width="9.28515625" customWidth="1"/>
    <col min="16" max="19" width="9.28515625" bestFit="1" customWidth="1"/>
    <col min="20" max="24" width="9.28515625" customWidth="1"/>
    <col min="25" max="25" width="9.28515625" bestFit="1" customWidth="1"/>
    <col min="26" max="26" width="9.85546875" bestFit="1" customWidth="1"/>
    <col min="30" max="30" width="11.28515625" customWidth="1"/>
  </cols>
  <sheetData>
    <row r="1" spans="1:34" x14ac:dyDescent="0.25">
      <c r="B1" t="s">
        <v>67</v>
      </c>
    </row>
    <row r="3" spans="1:34" x14ac:dyDescent="0.25">
      <c r="B3">
        <v>1.5</v>
      </c>
      <c r="D3" t="s">
        <v>78</v>
      </c>
      <c r="E3">
        <f>B3/1000*'Display '!H3*'Display '!E5</f>
        <v>0.75</v>
      </c>
    </row>
    <row r="4" spans="1:34" x14ac:dyDescent="0.25">
      <c r="B4" t="s">
        <v>33</v>
      </c>
      <c r="C4">
        <f>'Display '!C3</f>
        <v>13</v>
      </c>
      <c r="D4" t="s">
        <v>47</v>
      </c>
      <c r="E4" s="3">
        <f>1730.63/(7.1962-LOG10(C11))+39.72</f>
        <v>373.13678211413537</v>
      </c>
      <c r="F4" t="s">
        <v>1</v>
      </c>
      <c r="G4">
        <v>98.6</v>
      </c>
    </row>
    <row r="5" spans="1:34" x14ac:dyDescent="0.25">
      <c r="B5" t="s">
        <v>34</v>
      </c>
      <c r="C5" s="3">
        <f>C4/C6</f>
        <v>14.444444444444445</v>
      </c>
      <c r="D5" t="s">
        <v>42</v>
      </c>
      <c r="E5" s="3">
        <f>E4+E3</f>
        <v>373.88678211413537</v>
      </c>
      <c r="F5" t="s">
        <v>4</v>
      </c>
      <c r="G5">
        <f>7.23*10^11</f>
        <v>723000000000</v>
      </c>
      <c r="I5" t="s">
        <v>6</v>
      </c>
      <c r="J5" t="s">
        <v>54</v>
      </c>
      <c r="K5" t="s">
        <v>7</v>
      </c>
      <c r="L5" t="s">
        <v>54</v>
      </c>
    </row>
    <row r="6" spans="1:34" x14ac:dyDescent="0.25">
      <c r="B6" t="s">
        <v>48</v>
      </c>
      <c r="C6" s="3">
        <f>1-'Display '!E5*'Display '!C5/6000</f>
        <v>0.9</v>
      </c>
      <c r="D6" t="s">
        <v>38</v>
      </c>
      <c r="E6" s="3">
        <f>E5*(1+0.051*C4/'Display '!H7)</f>
        <v>374.6614287908281</v>
      </c>
      <c r="F6" t="s">
        <v>56</v>
      </c>
      <c r="G6">
        <v>108</v>
      </c>
      <c r="I6">
        <f t="shared" ref="I6:I11" si="0">G$5*EXP(-G$4/(G$7*E6))</f>
        <v>1.2967187249595329E-2</v>
      </c>
      <c r="K6">
        <f>H$9*EXP(-G$9/(G$7*E6))</f>
        <v>3.2091434102902937E-3</v>
      </c>
    </row>
    <row r="7" spans="1:34" x14ac:dyDescent="0.25">
      <c r="B7" t="s">
        <v>35</v>
      </c>
      <c r="C7" s="3">
        <f>C5*C6/C8</f>
        <v>0.52</v>
      </c>
      <c r="D7" t="s">
        <v>39</v>
      </c>
      <c r="E7" s="3">
        <f>E5*(1+0.051*C5/'Display '!H7)</f>
        <v>374.74750064379396</v>
      </c>
      <c r="F7" t="s">
        <v>3</v>
      </c>
      <c r="G7">
        <v>8.3145100000000007E-3</v>
      </c>
      <c r="I7">
        <f t="shared" si="0"/>
        <v>1.3061799862728275E-2</v>
      </c>
      <c r="J7" s="2">
        <f>IF(I6=I7,I6,(I6-I7)/(LN(I6)-LN(I7)))</f>
        <v>1.3014436238154178E-2</v>
      </c>
      <c r="K7">
        <f>H$10*EXP(-G$10/(G$7*E7))</f>
        <v>2.8984264000406785E-3</v>
      </c>
      <c r="L7" s="2">
        <f t="shared" ref="L7:L9" si="1">IF(K6=K7,K6,(K6-K7)/(LN(K6)-LN(K7)))</f>
        <v>3.0511485105670475E-3</v>
      </c>
      <c r="Q7">
        <f>IF(Q$13+'Display '!E17&gt;0,Q$13+'Display '!E17,0)</f>
        <v>0</v>
      </c>
    </row>
    <row r="8" spans="1:34" x14ac:dyDescent="0.25">
      <c r="B8" t="s">
        <v>36</v>
      </c>
      <c r="C8" s="3">
        <f>C6*'Display '!C2+'Display '!C6</f>
        <v>25</v>
      </c>
      <c r="D8" t="s">
        <v>40</v>
      </c>
      <c r="E8" s="3">
        <f>(E7*'Display '!C2*'Behind the scenes'!C6+'Display '!C6*('Display '!E6+273.15))/'Behind the scenes'!C8</f>
        <v>372.46277062576775</v>
      </c>
      <c r="G8" t="s">
        <v>2</v>
      </c>
      <c r="H8" t="s">
        <v>5</v>
      </c>
      <c r="I8">
        <f t="shared" si="0"/>
        <v>1.075724432176014E-2</v>
      </c>
      <c r="J8" s="2">
        <f t="shared" ref="J8" si="2">IF(I7=I8,I7,(I7-I8)/(LN(I7)-LN(I8)))</f>
        <v>1.1872266893392786E-2</v>
      </c>
      <c r="K8">
        <f>H$10*EXP(-G$10/(G$7*E8))</f>
        <v>2.3354463639037428E-3</v>
      </c>
      <c r="L8" s="2">
        <f t="shared" si="1"/>
        <v>2.6068122537925772E-3</v>
      </c>
    </row>
    <row r="9" spans="1:34" x14ac:dyDescent="0.25">
      <c r="B9" t="s">
        <v>37</v>
      </c>
      <c r="C9" s="3">
        <f>'Display '!C4</f>
        <v>5.3</v>
      </c>
      <c r="D9" t="s">
        <v>41</v>
      </c>
      <c r="E9">
        <f>'Display '!E7+273.15</f>
        <v>353.15</v>
      </c>
      <c r="G9">
        <f>G6+'Display '!H5*(5.2-C9)</f>
        <v>106.30000000000001</v>
      </c>
      <c r="H9">
        <f>EXP(-2.305+G9/3.464)</f>
        <v>2119215257641.314</v>
      </c>
      <c r="I9">
        <f t="shared" si="0"/>
        <v>1.8858960707667561E-3</v>
      </c>
      <c r="J9" s="2">
        <f>IF(I8=I9,I8,(I8-I9)/(LN(I8)-LN(I9)))</f>
        <v>5.0950314694365841E-3</v>
      </c>
      <c r="K9">
        <f>H$10*EXP(-G$10/(G$7*E9))</f>
        <v>3.3655688787551601E-4</v>
      </c>
      <c r="L9" s="2">
        <f t="shared" si="1"/>
        <v>1.0318493893589683E-3</v>
      </c>
    </row>
    <row r="10" spans="1:34" x14ac:dyDescent="0.25">
      <c r="B10" t="s">
        <v>9</v>
      </c>
      <c r="C10" s="3">
        <f>C9-'Display '!E4</f>
        <v>5.0999999999999996</v>
      </c>
      <c r="D10" t="s">
        <v>92</v>
      </c>
      <c r="E10">
        <f>'Display '!E8+273.15</f>
        <v>351.15</v>
      </c>
      <c r="G10">
        <f>G6+'Display '!H5*(5.2-C10)</f>
        <v>109.7</v>
      </c>
      <c r="H10">
        <f>EXP(-2.305+G10/3.464)</f>
        <v>5655169644185.5635</v>
      </c>
      <c r="I10">
        <f t="shared" si="0"/>
        <v>1.5575991421686371E-3</v>
      </c>
      <c r="J10">
        <f>IF(I9=I10,I9,(I9-I10)/(LN(I9)-LN(I10)))</f>
        <v>1.7165183574911294E-3</v>
      </c>
      <c r="K10">
        <f>H$10*EXP(-G$10/(G$7*E10))</f>
        <v>2.7204805629508133E-4</v>
      </c>
      <c r="L10">
        <f t="shared" ref="L10" si="3">IF(K9=K10,K9,(K9-K10)/(LN(K9)-LN(K10)))</f>
        <v>3.031594397948853E-4</v>
      </c>
    </row>
    <row r="11" spans="1:34" x14ac:dyDescent="0.25">
      <c r="B11" t="s">
        <v>43</v>
      </c>
      <c r="C11">
        <f>'Display '!E2/10*(1-0.0000225577*'Display '!E3)^5.25588</f>
        <v>101.3</v>
      </c>
      <c r="D11" t="s">
        <v>50</v>
      </c>
      <c r="E11">
        <f>'Display '!E9+273.15</f>
        <v>323.14999999999998</v>
      </c>
      <c r="I11">
        <f t="shared" si="0"/>
        <v>8.3489268514091441E-5</v>
      </c>
      <c r="J11" s="2">
        <f>IF(I10=I11,I10,(I10-I11)/(LN(I10)-LN(I11)))</f>
        <v>5.0376547678336765E-4</v>
      </c>
      <c r="K11">
        <f>H$10*EXP(-G$10/(G$7*E11))</f>
        <v>1.0489531741486487E-5</v>
      </c>
      <c r="L11" s="2">
        <f>IF(K10=K11,K10,(K10-K11)/(LN(K10)-LN(K11)))</f>
        <v>8.0341088769956713E-5</v>
      </c>
    </row>
    <row r="12" spans="1:34" x14ac:dyDescent="0.25">
      <c r="I12" t="s">
        <v>55</v>
      </c>
      <c r="J12" s="2">
        <f>IF(I11=J11,I11,(I11-J11)/(LN(I11)-LN(J11)))</f>
        <v>2.3382547426837311E-4</v>
      </c>
      <c r="L12" s="1">
        <f>IF(K11=L11,K11,(K11-L11)/(LN(K11)-LN(L11)))</f>
        <v>3.4309858265616298E-5</v>
      </c>
    </row>
    <row r="13" spans="1:34" x14ac:dyDescent="0.25">
      <c r="C13" s="5"/>
      <c r="D13" s="5"/>
      <c r="M13" t="s">
        <v>63</v>
      </c>
      <c r="N13">
        <f>'Display '!C5</f>
        <v>60</v>
      </c>
      <c r="P13" t="s">
        <v>64</v>
      </c>
      <c r="Q13">
        <f>'Display '!C7</f>
        <v>10</v>
      </c>
      <c r="U13" t="s">
        <v>91</v>
      </c>
      <c r="V13">
        <f>'Display '!C8</f>
        <v>20</v>
      </c>
      <c r="Y13" t="s">
        <v>65</v>
      </c>
      <c r="Z13">
        <f>'Display '!C9/2</f>
        <v>10</v>
      </c>
      <c r="AC13" t="s">
        <v>66</v>
      </c>
      <c r="AD13">
        <f>'Display '!C9</f>
        <v>20</v>
      </c>
    </row>
    <row r="14" spans="1:34" x14ac:dyDescent="0.25">
      <c r="B14" t="s">
        <v>62</v>
      </c>
      <c r="D14" t="s">
        <v>84</v>
      </c>
      <c r="E14" t="s">
        <v>8</v>
      </c>
      <c r="F14" t="s">
        <v>57</v>
      </c>
      <c r="G14" t="s">
        <v>6</v>
      </c>
      <c r="H14" t="s">
        <v>2</v>
      </c>
      <c r="I14" t="s">
        <v>5</v>
      </c>
      <c r="J14" t="s">
        <v>7</v>
      </c>
      <c r="K14" t="s">
        <v>60</v>
      </c>
      <c r="L14" t="s">
        <v>61</v>
      </c>
      <c r="M14" t="s">
        <v>59</v>
      </c>
      <c r="N14" t="s">
        <v>58</v>
      </c>
      <c r="P14" t="s">
        <v>60</v>
      </c>
      <c r="Q14" t="s">
        <v>61</v>
      </c>
      <c r="R14" t="s">
        <v>59</v>
      </c>
      <c r="S14" t="s">
        <v>58</v>
      </c>
      <c r="U14" t="s">
        <v>60</v>
      </c>
      <c r="V14" t="s">
        <v>61</v>
      </c>
      <c r="W14" t="s">
        <v>59</v>
      </c>
      <c r="X14" t="s">
        <v>58</v>
      </c>
      <c r="Y14" t="s">
        <v>60</v>
      </c>
      <c r="Z14" t="s">
        <v>61</v>
      </c>
      <c r="AA14" t="s">
        <v>59</v>
      </c>
      <c r="AB14" t="s">
        <v>58</v>
      </c>
      <c r="AC14" t="s">
        <v>60</v>
      </c>
      <c r="AD14" t="s">
        <v>61</v>
      </c>
      <c r="AE14" t="s">
        <v>59</v>
      </c>
      <c r="AF14" t="s">
        <v>58</v>
      </c>
    </row>
    <row r="15" spans="1:34" x14ac:dyDescent="0.25">
      <c r="A15" s="12">
        <f>'Display '!F13*(('Behind the scenes'!E15/'Display '!H$4)*'Display '!H$2*('Display '!H$6^-'Behind the scenes'!C$5))/100</f>
        <v>811.78945271047633</v>
      </c>
      <c r="B15" s="13">
        <f>IF('Display '!E13&gt;0,'Display '!E13,0)</f>
        <v>60</v>
      </c>
      <c r="C15" s="3">
        <f>B15/'Display '!C$5</f>
        <v>1</v>
      </c>
      <c r="D15" s="3">
        <f t="shared" ref="D15:D24" si="4">C15*(C$4-C$5)+C$5</f>
        <v>13</v>
      </c>
      <c r="E15" s="3">
        <f t="shared" ref="E15:E24" si="5">C15*(C$9-C$10)+C$10</f>
        <v>5.3</v>
      </c>
      <c r="F15" s="3">
        <f t="shared" ref="F15:F24" si="6">C15*(E$6-E$7)+E$7</f>
        <v>374.6614287908281</v>
      </c>
      <c r="G15" s="2">
        <f t="shared" ref="G15:G24" si="7">G$5*EXP(-G$4/(G$7*F15))</f>
        <v>1.2967187249595329E-2</v>
      </c>
      <c r="H15">
        <f>G$6+'Display '!H$5*(5.2-E15)</f>
        <v>106.30000000000001</v>
      </c>
      <c r="I15" s="14">
        <f t="shared" ref="I15:I24" si="8">EXP(-2.305+H15/3.464)</f>
        <v>2119215257641.314</v>
      </c>
      <c r="J15">
        <f t="shared" ref="J15:J24" si="9">I$15*EXP(-H$15/($G$7*F15))</f>
        <v>3.2091434102902937E-3</v>
      </c>
      <c r="K15" s="2">
        <f t="shared" ref="K15:K24" si="10">IF(I$7=G15,I$7,(I$7-G15)/(LN(I$7)-LN(G15)))</f>
        <v>1.3014436238154178E-2</v>
      </c>
      <c r="L15" s="2">
        <f t="shared" ref="L15:L24" si="11">IF(K$7=J15,K$7,(K$7-J15)/(LN(K$7)-LN(J15)))</f>
        <v>3.0511485105670475E-3</v>
      </c>
      <c r="M15">
        <f>'Behind the scenes'!A15*EXP(-K15*B15)</f>
        <v>371.80697587775137</v>
      </c>
      <c r="N15">
        <f>'Behind the scenes'!A15*(K15/(L15-K15)*(EXP(-K15*B15)-EXP(-L15*B15)))</f>
        <v>397.33030854978796</v>
      </c>
      <c r="O15">
        <f>IF('Display '!E13&lt;0,(IF(Q$13+'Display '!E13&gt;0,Q$13+'Display '!E13,0)),Q$13)</f>
        <v>10</v>
      </c>
      <c r="P15" s="2">
        <f>J$9</f>
        <v>5.0950314694365841E-3</v>
      </c>
      <c r="Q15" s="2">
        <f t="shared" ref="Q15:Q24" si="12">L$9</f>
        <v>1.0318493893589683E-3</v>
      </c>
      <c r="R15">
        <f>M15*EXP(-P15*O15)</f>
        <v>353.33779399195549</v>
      </c>
      <c r="S15">
        <f xml:space="preserve"> N15*EXP(-Q15*O15)+M15*(P15/(Q15-P15)*(EXP(-P15*O15)-EXP(-Q15*O15)))</f>
        <v>411.62495452637074</v>
      </c>
      <c r="T15">
        <f>IF('Display '!E13+Q$13&lt;0,'Display '!E13+Q$13+V$13,V$13)</f>
        <v>20</v>
      </c>
      <c r="U15">
        <f>J$10</f>
        <v>1.7165183574911294E-3</v>
      </c>
      <c r="V15" s="2">
        <f>L$11</f>
        <v>8.0341088769956713E-5</v>
      </c>
      <c r="W15">
        <f>R15*EXP(-U15*T15)</f>
        <v>341.41343276800529</v>
      </c>
      <c r="X15">
        <f xml:space="preserve"> S15*EXP(-V15*T15)+R15*(U15/(V15-U15)*(EXP(-U15*T15)-EXP(-V15*T15)))</f>
        <v>422.87880910550638</v>
      </c>
      <c r="Y15" s="2">
        <f>J$12</f>
        <v>2.3382547426837311E-4</v>
      </c>
      <c r="Z15" s="1">
        <f>L$12</f>
        <v>3.4309858265616298E-5</v>
      </c>
      <c r="AA15">
        <f>W15*EXP(-Y15*Z$13)</f>
        <v>340.61605379050894</v>
      </c>
      <c r="AB15">
        <f xml:space="preserve"> X15*EXP(-Z15*Z$13)+W15*(Y15/(Z15-Y15)*(EXP(-Y15*Z$13)-EXP(-Z15*Z$13)))</f>
        <v>423.53098702259786</v>
      </c>
      <c r="AC15" s="2">
        <f>J$11</f>
        <v>5.0376547678336765E-4</v>
      </c>
      <c r="AD15" s="1">
        <f>L$11</f>
        <v>8.0341088769956713E-5</v>
      </c>
      <c r="AE15">
        <f>W15*EXP(-AC15*AD$13)</f>
        <v>337.99085745867529</v>
      </c>
      <c r="AF15">
        <f xml:space="preserve"> X15*EXP(-AD15*AD$13)+W15*(AC15/(AD15-AC15)*(EXP(-AC15*AD$13)-EXP(-AD15*AD$13)))</f>
        <v>425.61968627833647</v>
      </c>
      <c r="AH15">
        <f>AF15/A15</f>
        <v>0.52429812293968447</v>
      </c>
    </row>
    <row r="16" spans="1:34" x14ac:dyDescent="0.25">
      <c r="A16" s="12">
        <f>'Display '!F14*(('Behind the scenes'!E16/'Display '!H$4)*'Display '!H$2*('Display '!H$6^-'Behind the scenes'!C$5))/100</f>
        <v>1657.8452962042077</v>
      </c>
      <c r="B16" s="13">
        <f>IF('Display '!E14&gt;0,'Display '!E14,0)</f>
        <v>5</v>
      </c>
      <c r="C16" s="3">
        <f>B16/'Display '!C$5</f>
        <v>8.3333333333333329E-2</v>
      </c>
      <c r="D16" s="3">
        <f t="shared" si="4"/>
        <v>14.324074074074074</v>
      </c>
      <c r="E16" s="3">
        <f t="shared" si="5"/>
        <v>5.1166666666666663</v>
      </c>
      <c r="F16" s="3">
        <f t="shared" si="6"/>
        <v>374.74032798938015</v>
      </c>
      <c r="G16" s="2">
        <f t="shared" si="7"/>
        <v>1.305389084604671E-2</v>
      </c>
      <c r="H16" s="4">
        <f>G$6+'Display '!H$5*(5.2-E16)</f>
        <v>109.41666666666667</v>
      </c>
      <c r="I16" s="14">
        <f t="shared" si="8"/>
        <v>5211024203645.0596</v>
      </c>
      <c r="J16">
        <f t="shared" si="9"/>
        <v>3.2322826957597531E-3</v>
      </c>
      <c r="K16" s="2">
        <f t="shared" si="10"/>
        <v>1.3057844955188773E-2</v>
      </c>
      <c r="L16" s="2">
        <f t="shared" si="11"/>
        <v>3.062322046434353E-3</v>
      </c>
      <c r="M16">
        <f>'Behind the scenes'!A16*EXP(-K16*B16)</f>
        <v>1553.0636369399128</v>
      </c>
      <c r="N16">
        <f>'Behind the scenes'!A16*(K16/(L16-K16)*(EXP(-K16*B16)-EXP(-L16*B16)))</f>
        <v>103.97488818299075</v>
      </c>
      <c r="O16">
        <f>IF('Display '!E14&lt;0,(IF(Q$13+'Display '!E14&gt;0,Q$13+'Display '!E14,0)),Q$13)</f>
        <v>10</v>
      </c>
      <c r="P16" s="2">
        <f t="shared" ref="P16:P24" si="13">J$9</f>
        <v>5.0950314694365841E-3</v>
      </c>
      <c r="Q16" s="2">
        <f t="shared" si="12"/>
        <v>1.0318493893589683E-3</v>
      </c>
      <c r="R16">
        <f t="shared" ref="R16:R24" si="14">M16*EXP(-P16*O16)</f>
        <v>1475.9165777080548</v>
      </c>
      <c r="S16">
        <f t="shared" ref="S16:S24" si="15" xml:space="preserve"> N16*EXP(-Q16*O16)+M16*(P16/(Q16-P16)*(EXP(-P16*O16)-EXP(-Q16*O16)))</f>
        <v>179.65458176440524</v>
      </c>
      <c r="T16">
        <f>IF('Display '!E14+Q$13&lt;0,'Display '!E14+Q$13+V$13,V$13)</f>
        <v>20</v>
      </c>
      <c r="U16">
        <f t="shared" ref="U16:U24" si="16">J$10</f>
        <v>1.7165183574911294E-3</v>
      </c>
      <c r="V16">
        <f t="shared" ref="V16:V24" si="17">L$11</f>
        <v>8.0341088769956713E-5</v>
      </c>
      <c r="W16">
        <f t="shared" ref="W16:W24" si="18">R16*EXP(-U16*T16)</f>
        <v>1426.1076902687228</v>
      </c>
      <c r="X16">
        <f t="shared" ref="X16:X24" si="19" xml:space="preserve"> S16*EXP(-V16*T16)+R16*(U16/(V16-U16)*(EXP(-U16*T16)-EXP(-V16*T16)))</f>
        <v>229.13480375297297</v>
      </c>
      <c r="Y16">
        <f t="shared" ref="Y16:Y24" si="20">J$12</f>
        <v>2.3382547426837311E-4</v>
      </c>
      <c r="Z16">
        <f t="shared" ref="Z16:Z24" si="21">L$12</f>
        <v>3.4309858265616298E-5</v>
      </c>
      <c r="AA16">
        <f t="shared" ref="AA16:AA24" si="22">W16*EXP(-Y16*Z$13)</f>
        <v>1422.7769827372506</v>
      </c>
      <c r="AB16">
        <f t="shared" ref="AB16:AB24" si="23" xml:space="preserve"> X16*EXP(-Z16*Z$13)+W16*(Y16/(Z16-Y16)*(EXP(-Y16*Z$13)-EXP(-Z16*Z$13)))</f>
        <v>232.38633740517761</v>
      </c>
      <c r="AC16">
        <f t="shared" ref="AC16:AC24" si="24">J$11</f>
        <v>5.0376547678336765E-4</v>
      </c>
      <c r="AD16">
        <f t="shared" ref="AD16:AD24" si="25">L$11</f>
        <v>8.0341088769956713E-5</v>
      </c>
      <c r="AE16">
        <f t="shared" ref="AE16:AE24" si="26">W16*EXP(-AC16*AD$13)</f>
        <v>1411.8113547977161</v>
      </c>
      <c r="AF16">
        <f t="shared" ref="AF16:AF24" si="27" xml:space="preserve"> X16*EXP(-AD16*AD$13)+W16*(AC16/(AD16-AC16)*(EXP(-AC16*AD$13)-EXP(-AD16*AD$13)))</f>
        <v>243.05175711844981</v>
      </c>
    </row>
    <row r="17" spans="1:32" x14ac:dyDescent="0.25">
      <c r="A17" s="12">
        <f>'Display '!F15*(('Behind the scenes'!E17/'Display '!H$4)*'Display '!H$2*('Display '!H$6^-'Behind the scenes'!C$5))/100</f>
        <v>1834.8579248103008</v>
      </c>
      <c r="B17" s="13">
        <f>IF('Display '!E15&gt;0,'Display '!E15,0)</f>
        <v>0</v>
      </c>
      <c r="C17" s="3">
        <f>B17/'Display '!C$5</f>
        <v>0</v>
      </c>
      <c r="D17" s="3">
        <f t="shared" si="4"/>
        <v>14.444444444444445</v>
      </c>
      <c r="E17" s="3">
        <f t="shared" si="5"/>
        <v>5.0999999999999996</v>
      </c>
      <c r="F17" s="3">
        <f t="shared" si="6"/>
        <v>374.74750064379396</v>
      </c>
      <c r="G17" s="2">
        <f t="shared" si="7"/>
        <v>1.3061799862728275E-2</v>
      </c>
      <c r="H17" s="4">
        <f>G$6+'Display '!H$5*(5.2-E17)</f>
        <v>109.7</v>
      </c>
      <c r="I17" s="14">
        <f t="shared" si="8"/>
        <v>5655169644185.5635</v>
      </c>
      <c r="J17">
        <f t="shared" si="9"/>
        <v>3.2343940372086956E-3</v>
      </c>
      <c r="K17" s="2">
        <f t="shared" si="10"/>
        <v>1.3061799862728275E-2</v>
      </c>
      <c r="L17" s="2">
        <f t="shared" si="11"/>
        <v>3.0633402682403903E-3</v>
      </c>
      <c r="M17">
        <f>'Behind the scenes'!A17*EXP(-K17*B17)</f>
        <v>1834.8579248103008</v>
      </c>
      <c r="N17">
        <f>'Behind the scenes'!A17*(K17/(L17-K17)*(EXP(-K17*B17)-EXP(-L17*B17)))</f>
        <v>0</v>
      </c>
      <c r="O17">
        <f>IF('Display '!E15&lt;0,(IF(Q$13+'Display '!E15&gt;0,Q$13+'Display '!E15,0)),Q$13)</f>
        <v>10</v>
      </c>
      <c r="P17" s="2">
        <f t="shared" si="13"/>
        <v>5.0950314694365841E-3</v>
      </c>
      <c r="Q17" s="2">
        <f t="shared" si="12"/>
        <v>1.0318493893589683E-3</v>
      </c>
      <c r="R17">
        <f t="shared" si="14"/>
        <v>1743.7129841649219</v>
      </c>
      <c r="S17">
        <f t="shared" si="15"/>
        <v>90.672342216904553</v>
      </c>
      <c r="T17">
        <f>IF('Display '!E15+Q$13&lt;0,'Display '!E15+Q$13+V$13,V$13)</f>
        <v>20</v>
      </c>
      <c r="U17">
        <f t="shared" si="16"/>
        <v>1.7165183574911294E-3</v>
      </c>
      <c r="V17">
        <f t="shared" si="17"/>
        <v>8.0341088769956713E-5</v>
      </c>
      <c r="W17">
        <f t="shared" si="18"/>
        <v>1684.8665662395638</v>
      </c>
      <c r="X17">
        <f t="shared" si="19"/>
        <v>149.32566000918072</v>
      </c>
      <c r="Y17">
        <f t="shared" si="20"/>
        <v>2.3382547426837311E-4</v>
      </c>
      <c r="Z17">
        <f t="shared" si="21"/>
        <v>3.4309858265616298E-5</v>
      </c>
      <c r="AA17">
        <f t="shared" si="22"/>
        <v>1680.9315213618222</v>
      </c>
      <c r="AB17">
        <f t="shared" si="23"/>
        <v>153.208805012678</v>
      </c>
      <c r="AC17">
        <f t="shared" si="24"/>
        <v>5.0376547678336765E-4</v>
      </c>
      <c r="AD17">
        <f t="shared" si="25"/>
        <v>8.0341088769956713E-5</v>
      </c>
      <c r="AE17">
        <f t="shared" si="26"/>
        <v>1667.9762445484264</v>
      </c>
      <c r="AF17">
        <f t="shared" si="27"/>
        <v>165.96264927359724</v>
      </c>
    </row>
    <row r="18" spans="1:32" x14ac:dyDescent="0.25">
      <c r="A18" s="12">
        <f>'Display '!F16*(('Behind the scenes'!E18/'Display '!H$4)*'Display '!H$2*('Display '!H$6^-'Behind the scenes'!C$5))/100</f>
        <v>1459.3022092058529</v>
      </c>
      <c r="B18" s="13">
        <f>IF('Display '!E16&gt;0,'Display '!E16,0)</f>
        <v>0</v>
      </c>
      <c r="C18" s="3">
        <f>B18/'Display '!C$5</f>
        <v>0</v>
      </c>
      <c r="D18" s="3">
        <f t="shared" si="4"/>
        <v>14.444444444444445</v>
      </c>
      <c r="E18" s="3">
        <f t="shared" si="5"/>
        <v>5.0999999999999996</v>
      </c>
      <c r="F18" s="3">
        <f t="shared" si="6"/>
        <v>374.74750064379396</v>
      </c>
      <c r="G18" s="2">
        <f t="shared" si="7"/>
        <v>1.3061799862728275E-2</v>
      </c>
      <c r="H18" s="4">
        <f>G$6+'Display '!H$5*(5.2-E18)</f>
        <v>109.7</v>
      </c>
      <c r="I18" s="14">
        <f t="shared" si="8"/>
        <v>5655169644185.5635</v>
      </c>
      <c r="J18">
        <f t="shared" si="9"/>
        <v>3.2343940372086956E-3</v>
      </c>
      <c r="K18" s="2">
        <f t="shared" si="10"/>
        <v>1.3061799862728275E-2</v>
      </c>
      <c r="L18" s="2">
        <f t="shared" si="11"/>
        <v>3.0633402682403903E-3</v>
      </c>
      <c r="M18">
        <f>'Behind the scenes'!A18*EXP(-K18*B18)</f>
        <v>1459.3022092058529</v>
      </c>
      <c r="N18">
        <f>'Behind the scenes'!A18*(K18/(L18-K18)*(EXP(-K18*B18)-EXP(-L18*B18)))</f>
        <v>0</v>
      </c>
      <c r="O18">
        <f>IF('Display '!E16&lt;0,(IF(Q$13+'Display '!E16&gt;0,Q$13+'Display '!E16,0)),Q$13)</f>
        <v>5</v>
      </c>
      <c r="P18" s="2">
        <f t="shared" si="13"/>
        <v>5.0950314694365841E-3</v>
      </c>
      <c r="Q18" s="2">
        <f t="shared" si="12"/>
        <v>1.0318493893589683E-3</v>
      </c>
      <c r="R18">
        <f t="shared" si="14"/>
        <v>1422.5957918223874</v>
      </c>
      <c r="S18">
        <f t="shared" si="15"/>
        <v>36.611490284235707</v>
      </c>
      <c r="T18">
        <f>IF('Display '!E16+Q$13&lt;0,'Display '!E16+Q$13+V$13,V$13)</f>
        <v>20</v>
      </c>
      <c r="U18">
        <f t="shared" si="16"/>
        <v>1.7165183574911294E-3</v>
      </c>
      <c r="V18">
        <f t="shared" si="17"/>
        <v>8.0341088769956713E-5</v>
      </c>
      <c r="W18">
        <f t="shared" si="18"/>
        <v>1374.5863617930941</v>
      </c>
      <c r="X18">
        <f t="shared" si="19"/>
        <v>84.523368250829975</v>
      </c>
      <c r="Y18">
        <f t="shared" si="20"/>
        <v>2.3382547426837311E-4</v>
      </c>
      <c r="Z18">
        <f t="shared" si="21"/>
        <v>3.4309858265616298E-5</v>
      </c>
      <c r="AA18">
        <f t="shared" si="22"/>
        <v>1371.3759835172289</v>
      </c>
      <c r="AB18">
        <f t="shared" si="23"/>
        <v>87.704200763452917</v>
      </c>
      <c r="AC18">
        <f t="shared" si="24"/>
        <v>5.0376547678336765E-4</v>
      </c>
      <c r="AD18">
        <f t="shared" si="25"/>
        <v>8.0341088769956713E-5</v>
      </c>
      <c r="AE18">
        <f t="shared" si="26"/>
        <v>1360.8065134014473</v>
      </c>
      <c r="AF18">
        <f t="shared" si="27"/>
        <v>98.156428181434023</v>
      </c>
    </row>
    <row r="19" spans="1:32" x14ac:dyDescent="0.25">
      <c r="A19" s="12">
        <f>'Display '!F17*(('Behind the scenes'!E19/'Display '!H$4)*'Display '!H$2*('Display '!H$6^-'Behind the scenes'!C$5))/100</f>
        <v>3197.5886642892956</v>
      </c>
      <c r="B19" s="13">
        <f>IF('Display '!E17&gt;0,'Display '!E17,0)</f>
        <v>0</v>
      </c>
      <c r="C19" s="3">
        <f>B19/'Display '!C$5</f>
        <v>0</v>
      </c>
      <c r="D19" s="3">
        <f t="shared" si="4"/>
        <v>14.444444444444445</v>
      </c>
      <c r="E19" s="3">
        <f t="shared" si="5"/>
        <v>5.0999999999999996</v>
      </c>
      <c r="F19" s="3">
        <f t="shared" si="6"/>
        <v>374.74750064379396</v>
      </c>
      <c r="G19" s="2">
        <f t="shared" si="7"/>
        <v>1.3061799862728275E-2</v>
      </c>
      <c r="H19" s="4">
        <f>G$6+'Display '!H$5*(5.2-E19)</f>
        <v>109.7</v>
      </c>
      <c r="I19" s="14">
        <f t="shared" si="8"/>
        <v>5655169644185.5635</v>
      </c>
      <c r="J19">
        <f t="shared" si="9"/>
        <v>3.2343940372086956E-3</v>
      </c>
      <c r="K19" s="2">
        <f t="shared" si="10"/>
        <v>1.3061799862728275E-2</v>
      </c>
      <c r="L19" s="2">
        <f t="shared" si="11"/>
        <v>3.0633402682403903E-3</v>
      </c>
      <c r="M19">
        <f>'Behind the scenes'!A19*EXP(-K19*B19)</f>
        <v>3197.5886642892956</v>
      </c>
      <c r="N19">
        <f>'Behind the scenes'!A19*(K19/(L19-K19)*(EXP(-K19*B19)-EXP(-L19*B19)))</f>
        <v>0</v>
      </c>
      <c r="O19">
        <f>IF('Display '!E17&lt;0,(IF(Q$13+'Display '!E17&gt;0,Q$13+'Display '!E17,0)),Q$13)</f>
        <v>0</v>
      </c>
      <c r="P19" s="2">
        <f t="shared" si="13"/>
        <v>5.0950314694365841E-3</v>
      </c>
      <c r="Q19" s="2">
        <f t="shared" si="12"/>
        <v>1.0318493893589683E-3</v>
      </c>
      <c r="R19">
        <f t="shared" si="14"/>
        <v>3197.5886642892956</v>
      </c>
      <c r="S19">
        <f t="shared" si="15"/>
        <v>0</v>
      </c>
      <c r="T19">
        <f>IF('Display '!E17+Q$13&lt;0,'Display '!E17+Q$13+V$13,V$13)</f>
        <v>20</v>
      </c>
      <c r="U19">
        <f t="shared" si="16"/>
        <v>1.7165183574911294E-3</v>
      </c>
      <c r="V19">
        <f t="shared" si="17"/>
        <v>8.0341088769956713E-5</v>
      </c>
      <c r="W19">
        <f t="shared" si="18"/>
        <v>3089.67718998077</v>
      </c>
      <c r="X19">
        <f t="shared" si="19"/>
        <v>107.82432782263727</v>
      </c>
      <c r="Y19">
        <f t="shared" si="20"/>
        <v>2.3382547426837311E-4</v>
      </c>
      <c r="Z19">
        <f t="shared" si="21"/>
        <v>3.4309858265616298E-5</v>
      </c>
      <c r="AA19">
        <f t="shared" si="22"/>
        <v>3082.4611773635547</v>
      </c>
      <c r="AB19">
        <f t="shared" si="23"/>
        <v>115.00211416880576</v>
      </c>
      <c r="AC19">
        <f t="shared" si="24"/>
        <v>5.0376547678336765E-4</v>
      </c>
      <c r="AD19">
        <f t="shared" si="25"/>
        <v>8.0341088769956713E-5</v>
      </c>
      <c r="AE19">
        <f t="shared" si="26"/>
        <v>3058.704030024835</v>
      </c>
      <c r="AF19">
        <f t="shared" si="27"/>
        <v>138.59945981725383</v>
      </c>
    </row>
    <row r="20" spans="1:32" x14ac:dyDescent="0.25">
      <c r="A20" s="12">
        <f>'Display '!F18*(('Behind the scenes'!E20/'Display '!H$4)*'Display '!H$2*('Display '!H$6^-'Behind the scenes'!C$5))/100</f>
        <v>0</v>
      </c>
      <c r="B20" s="13">
        <f>IF('Display '!E18&gt;0,'Display '!E18,0)</f>
        <v>0</v>
      </c>
      <c r="C20" s="3">
        <f>B20/'Display '!C$5</f>
        <v>0</v>
      </c>
      <c r="D20" s="3">
        <f t="shared" si="4"/>
        <v>14.444444444444445</v>
      </c>
      <c r="E20" s="3">
        <f t="shared" si="5"/>
        <v>5.0999999999999996</v>
      </c>
      <c r="F20" s="3">
        <f t="shared" si="6"/>
        <v>374.74750064379396</v>
      </c>
      <c r="G20" s="2">
        <f t="shared" si="7"/>
        <v>1.3061799862728275E-2</v>
      </c>
      <c r="H20" s="4">
        <f>G$6+'Display '!H$5*(5.2-E20)</f>
        <v>109.7</v>
      </c>
      <c r="I20" s="14">
        <f t="shared" si="8"/>
        <v>5655169644185.5635</v>
      </c>
      <c r="J20">
        <f t="shared" si="9"/>
        <v>3.2343940372086956E-3</v>
      </c>
      <c r="K20" s="2">
        <f t="shared" si="10"/>
        <v>1.3061799862728275E-2</v>
      </c>
      <c r="L20" s="2">
        <f t="shared" si="11"/>
        <v>3.0633402682403903E-3</v>
      </c>
      <c r="M20">
        <f>'Behind the scenes'!A20*EXP(-K20*B20)</f>
        <v>0</v>
      </c>
      <c r="N20">
        <f>'Behind the scenes'!A20*(K20/(L20-K20)*(EXP(-K20*B20)-EXP(-L20*B20)))</f>
        <v>0</v>
      </c>
      <c r="O20">
        <f>IF('Display '!E18&lt;0,(IF(Q$13+'Display '!E18&gt;0,Q$13+'Display '!E18,0)),Q$13)</f>
        <v>10</v>
      </c>
      <c r="P20" s="2">
        <f t="shared" si="13"/>
        <v>5.0950314694365841E-3</v>
      </c>
      <c r="Q20" s="2">
        <f t="shared" si="12"/>
        <v>1.0318493893589683E-3</v>
      </c>
      <c r="R20">
        <f t="shared" si="14"/>
        <v>0</v>
      </c>
      <c r="S20">
        <f t="shared" si="15"/>
        <v>0</v>
      </c>
      <c r="T20">
        <f>IF('Display '!E18+Q$13&lt;0,'Display '!E18+Q$13+V$13,V$13)</f>
        <v>20</v>
      </c>
      <c r="U20">
        <f t="shared" si="16"/>
        <v>1.7165183574911294E-3</v>
      </c>
      <c r="V20">
        <f t="shared" si="17"/>
        <v>8.0341088769956713E-5</v>
      </c>
      <c r="W20">
        <f t="shared" si="18"/>
        <v>0</v>
      </c>
      <c r="X20">
        <f t="shared" si="19"/>
        <v>0</v>
      </c>
      <c r="Y20">
        <f t="shared" si="20"/>
        <v>2.3382547426837311E-4</v>
      </c>
      <c r="Z20">
        <f t="shared" si="21"/>
        <v>3.4309858265616298E-5</v>
      </c>
      <c r="AA20">
        <f t="shared" si="22"/>
        <v>0</v>
      </c>
      <c r="AB20">
        <f t="shared" si="23"/>
        <v>0</v>
      </c>
      <c r="AC20">
        <f t="shared" si="24"/>
        <v>5.0376547678336765E-4</v>
      </c>
      <c r="AD20">
        <f t="shared" si="25"/>
        <v>8.0341088769956713E-5</v>
      </c>
      <c r="AE20">
        <f t="shared" si="26"/>
        <v>0</v>
      </c>
      <c r="AF20">
        <f t="shared" si="27"/>
        <v>0</v>
      </c>
    </row>
    <row r="21" spans="1:32" x14ac:dyDescent="0.25">
      <c r="A21" s="12">
        <f>'Display '!F19*(('Behind the scenes'!E21/'Display '!H$4)*'Display '!H$2*('Display '!H$6^-'Behind the scenes'!C$5))/100</f>
        <v>0</v>
      </c>
      <c r="B21" s="13">
        <f>IF('Display '!E19&gt;0,'Display '!E19,0)</f>
        <v>0</v>
      </c>
      <c r="C21" s="3">
        <f>B21/'Display '!C$5</f>
        <v>0</v>
      </c>
      <c r="D21" s="3">
        <f t="shared" si="4"/>
        <v>14.444444444444445</v>
      </c>
      <c r="E21" s="3">
        <f t="shared" si="5"/>
        <v>5.0999999999999996</v>
      </c>
      <c r="F21" s="3">
        <f t="shared" si="6"/>
        <v>374.74750064379396</v>
      </c>
      <c r="G21" s="2">
        <f t="shared" si="7"/>
        <v>1.3061799862728275E-2</v>
      </c>
      <c r="H21" s="4">
        <f>G$6+'Display '!H$5*(5.2-E21)</f>
        <v>109.7</v>
      </c>
      <c r="I21" s="14">
        <f t="shared" si="8"/>
        <v>5655169644185.5635</v>
      </c>
      <c r="J21">
        <f t="shared" si="9"/>
        <v>3.2343940372086956E-3</v>
      </c>
      <c r="K21" s="2">
        <f t="shared" si="10"/>
        <v>1.3061799862728275E-2</v>
      </c>
      <c r="L21" s="2">
        <f t="shared" si="11"/>
        <v>3.0633402682403903E-3</v>
      </c>
      <c r="M21">
        <f>'Behind the scenes'!A21*EXP(-K21*B21)</f>
        <v>0</v>
      </c>
      <c r="N21">
        <f>'Behind the scenes'!A21*(K21/(L21-K21)*(EXP(-K21*B21)-EXP(-L21*B21)))</f>
        <v>0</v>
      </c>
      <c r="O21">
        <f>IF('Display '!E19&lt;0,(IF(Q$13+'Display '!E19&gt;0,Q$13+'Display '!E19,0)),Q$13)</f>
        <v>10</v>
      </c>
      <c r="P21" s="2">
        <f t="shared" si="13"/>
        <v>5.0950314694365841E-3</v>
      </c>
      <c r="Q21" s="2">
        <f t="shared" si="12"/>
        <v>1.0318493893589683E-3</v>
      </c>
      <c r="R21">
        <f t="shared" si="14"/>
        <v>0</v>
      </c>
      <c r="S21">
        <f t="shared" si="15"/>
        <v>0</v>
      </c>
      <c r="T21">
        <f>IF('Display '!E19+Q$13&lt;0,'Display '!E19+Q$13+V$13,V$13)</f>
        <v>20</v>
      </c>
      <c r="U21">
        <f t="shared" si="16"/>
        <v>1.7165183574911294E-3</v>
      </c>
      <c r="V21">
        <f t="shared" si="17"/>
        <v>8.0341088769956713E-5</v>
      </c>
      <c r="W21">
        <f t="shared" si="18"/>
        <v>0</v>
      </c>
      <c r="X21">
        <f t="shared" si="19"/>
        <v>0</v>
      </c>
      <c r="Y21">
        <f t="shared" si="20"/>
        <v>2.3382547426837311E-4</v>
      </c>
      <c r="Z21">
        <f t="shared" si="21"/>
        <v>3.4309858265616298E-5</v>
      </c>
      <c r="AA21">
        <f t="shared" si="22"/>
        <v>0</v>
      </c>
      <c r="AB21">
        <f t="shared" si="23"/>
        <v>0</v>
      </c>
      <c r="AC21">
        <f t="shared" si="24"/>
        <v>5.0376547678336765E-4</v>
      </c>
      <c r="AD21">
        <f t="shared" si="25"/>
        <v>8.0341088769956713E-5</v>
      </c>
      <c r="AE21">
        <f t="shared" si="26"/>
        <v>0</v>
      </c>
      <c r="AF21">
        <f t="shared" si="27"/>
        <v>0</v>
      </c>
    </row>
    <row r="22" spans="1:32" x14ac:dyDescent="0.25">
      <c r="A22" s="12">
        <f>'Display '!F20*(('Behind the scenes'!E22/'Display '!H$4)*'Display '!H$2*('Display '!H$6^-'Behind the scenes'!C$5))/100</f>
        <v>0</v>
      </c>
      <c r="B22" s="13">
        <f>IF('Display '!E20&gt;0,'Display '!E20,0)</f>
        <v>0</v>
      </c>
      <c r="C22" s="3">
        <f>B22/'Display '!C$5</f>
        <v>0</v>
      </c>
      <c r="D22" s="3">
        <f t="shared" si="4"/>
        <v>14.444444444444445</v>
      </c>
      <c r="E22" s="3">
        <f t="shared" si="5"/>
        <v>5.0999999999999996</v>
      </c>
      <c r="F22" s="3">
        <f t="shared" si="6"/>
        <v>374.74750064379396</v>
      </c>
      <c r="G22" s="2">
        <f t="shared" si="7"/>
        <v>1.3061799862728275E-2</v>
      </c>
      <c r="H22" s="4">
        <f>G$6+'Display '!H$5*(5.2-E22)</f>
        <v>109.7</v>
      </c>
      <c r="I22" s="14">
        <f t="shared" si="8"/>
        <v>5655169644185.5635</v>
      </c>
      <c r="J22">
        <f t="shared" si="9"/>
        <v>3.2343940372086956E-3</v>
      </c>
      <c r="K22" s="2">
        <f t="shared" si="10"/>
        <v>1.3061799862728275E-2</v>
      </c>
      <c r="L22" s="2">
        <f t="shared" si="11"/>
        <v>3.0633402682403903E-3</v>
      </c>
      <c r="M22">
        <f>'Behind the scenes'!A22*EXP(-K22*B22)</f>
        <v>0</v>
      </c>
      <c r="N22">
        <f>'Behind the scenes'!A22*(K22/(L22-K22)*(EXP(-K22*B22)-EXP(-L22*B22)))</f>
        <v>0</v>
      </c>
      <c r="O22">
        <f>IF('Display '!E20&lt;0,(IF(Q$13+'Display '!E20&gt;0,Q$13+'Display '!E20,0)),Q$13)</f>
        <v>10</v>
      </c>
      <c r="P22" s="2">
        <f t="shared" si="13"/>
        <v>5.0950314694365841E-3</v>
      </c>
      <c r="Q22" s="2">
        <f t="shared" si="12"/>
        <v>1.0318493893589683E-3</v>
      </c>
      <c r="R22">
        <f t="shared" si="14"/>
        <v>0</v>
      </c>
      <c r="S22">
        <f t="shared" si="15"/>
        <v>0</v>
      </c>
      <c r="T22">
        <f>IF('Display '!E20+Q$13&lt;0,'Display '!E20+Q$13+V$13,V$13)</f>
        <v>20</v>
      </c>
      <c r="U22">
        <f t="shared" si="16"/>
        <v>1.7165183574911294E-3</v>
      </c>
      <c r="V22">
        <f t="shared" si="17"/>
        <v>8.0341088769956713E-5</v>
      </c>
      <c r="W22">
        <f t="shared" si="18"/>
        <v>0</v>
      </c>
      <c r="X22">
        <f t="shared" si="19"/>
        <v>0</v>
      </c>
      <c r="Y22">
        <f t="shared" si="20"/>
        <v>2.3382547426837311E-4</v>
      </c>
      <c r="Z22">
        <f t="shared" si="21"/>
        <v>3.4309858265616298E-5</v>
      </c>
      <c r="AA22">
        <f t="shared" si="22"/>
        <v>0</v>
      </c>
      <c r="AB22">
        <f t="shared" si="23"/>
        <v>0</v>
      </c>
      <c r="AC22">
        <f t="shared" si="24"/>
        <v>5.0376547678336765E-4</v>
      </c>
      <c r="AD22">
        <f t="shared" si="25"/>
        <v>8.0341088769956713E-5</v>
      </c>
      <c r="AE22">
        <f t="shared" si="26"/>
        <v>0</v>
      </c>
      <c r="AF22">
        <f t="shared" si="27"/>
        <v>0</v>
      </c>
    </row>
    <row r="23" spans="1:32" x14ac:dyDescent="0.25">
      <c r="A23" s="12">
        <f>'Display '!F21*(('Behind the scenes'!E23/'Display '!H$4)*'Display '!H$2*('Display '!H$6^-'Behind the scenes'!C$5))/100</f>
        <v>0</v>
      </c>
      <c r="B23" s="13">
        <f>IF('Display '!E21&gt;0,'Display '!E21,0)</f>
        <v>0</v>
      </c>
      <c r="C23" s="3">
        <f>B23/'Display '!C$5</f>
        <v>0</v>
      </c>
      <c r="D23" s="3">
        <f t="shared" si="4"/>
        <v>14.444444444444445</v>
      </c>
      <c r="E23" s="3">
        <f t="shared" si="5"/>
        <v>5.0999999999999996</v>
      </c>
      <c r="F23" s="3">
        <f t="shared" si="6"/>
        <v>374.74750064379396</v>
      </c>
      <c r="G23" s="2">
        <f t="shared" si="7"/>
        <v>1.3061799862728275E-2</v>
      </c>
      <c r="H23" s="4">
        <f>G$6+'Display '!H$5*(5.2-E23)</f>
        <v>109.7</v>
      </c>
      <c r="I23" s="14">
        <f t="shared" si="8"/>
        <v>5655169644185.5635</v>
      </c>
      <c r="J23">
        <f t="shared" si="9"/>
        <v>3.2343940372086956E-3</v>
      </c>
      <c r="K23" s="2">
        <f t="shared" si="10"/>
        <v>1.3061799862728275E-2</v>
      </c>
      <c r="L23" s="2">
        <f t="shared" si="11"/>
        <v>3.0633402682403903E-3</v>
      </c>
      <c r="M23">
        <f>'Behind the scenes'!A23*EXP(-K23*B23)</f>
        <v>0</v>
      </c>
      <c r="N23">
        <f>'Behind the scenes'!A23*(K23/(L23-K23)*(EXP(-K23*B23)-EXP(-L23*B23)))</f>
        <v>0</v>
      </c>
      <c r="O23">
        <f>IF('Display '!E21&lt;0,(IF(Q$13+'Display '!E21&gt;0,Q$13+'Display '!E21,0)),Q$13)</f>
        <v>10</v>
      </c>
      <c r="P23" s="2">
        <f t="shared" si="13"/>
        <v>5.0950314694365841E-3</v>
      </c>
      <c r="Q23" s="2">
        <f t="shared" si="12"/>
        <v>1.0318493893589683E-3</v>
      </c>
      <c r="R23">
        <f t="shared" si="14"/>
        <v>0</v>
      </c>
      <c r="S23">
        <f t="shared" si="15"/>
        <v>0</v>
      </c>
      <c r="T23">
        <f>IF('Display '!E21+Q$13&lt;0,'Display '!E21+Q$13+V$13,V$13)</f>
        <v>20</v>
      </c>
      <c r="U23">
        <f t="shared" si="16"/>
        <v>1.7165183574911294E-3</v>
      </c>
      <c r="V23">
        <f t="shared" si="17"/>
        <v>8.0341088769956713E-5</v>
      </c>
      <c r="W23">
        <f t="shared" si="18"/>
        <v>0</v>
      </c>
      <c r="X23">
        <f t="shared" si="19"/>
        <v>0</v>
      </c>
      <c r="Y23">
        <f t="shared" si="20"/>
        <v>2.3382547426837311E-4</v>
      </c>
      <c r="Z23">
        <f t="shared" si="21"/>
        <v>3.4309858265616298E-5</v>
      </c>
      <c r="AA23">
        <f t="shared" si="22"/>
        <v>0</v>
      </c>
      <c r="AB23">
        <f t="shared" si="23"/>
        <v>0</v>
      </c>
      <c r="AC23">
        <f t="shared" si="24"/>
        <v>5.0376547678336765E-4</v>
      </c>
      <c r="AD23">
        <f t="shared" si="25"/>
        <v>8.0341088769956713E-5</v>
      </c>
      <c r="AE23">
        <f t="shared" si="26"/>
        <v>0</v>
      </c>
      <c r="AF23">
        <f t="shared" si="27"/>
        <v>0</v>
      </c>
    </row>
    <row r="24" spans="1:32" x14ac:dyDescent="0.25">
      <c r="A24" s="12">
        <f>'Display '!F22*(('Behind the scenes'!E24/'Display '!H$4)*'Display '!H$2*('Display '!H$6^-'Behind the scenes'!C$5))/100</f>
        <v>0</v>
      </c>
      <c r="B24" s="13">
        <f>IF('Display '!E22&gt;0,'Display '!E22,0)</f>
        <v>0</v>
      </c>
      <c r="C24" s="3">
        <f>B24/'Display '!C$5</f>
        <v>0</v>
      </c>
      <c r="D24" s="3">
        <f t="shared" si="4"/>
        <v>14.444444444444445</v>
      </c>
      <c r="E24" s="3">
        <f t="shared" si="5"/>
        <v>5.0999999999999996</v>
      </c>
      <c r="F24" s="3">
        <f t="shared" si="6"/>
        <v>374.74750064379396</v>
      </c>
      <c r="G24" s="2">
        <f t="shared" si="7"/>
        <v>1.3061799862728275E-2</v>
      </c>
      <c r="H24" s="4">
        <f>G$6+'Display '!H$5*(5.2-E24)</f>
        <v>109.7</v>
      </c>
      <c r="I24" s="14">
        <f t="shared" si="8"/>
        <v>5655169644185.5635</v>
      </c>
      <c r="J24">
        <f t="shared" si="9"/>
        <v>3.2343940372086956E-3</v>
      </c>
      <c r="K24" s="2">
        <f t="shared" si="10"/>
        <v>1.3061799862728275E-2</v>
      </c>
      <c r="L24" s="2">
        <f t="shared" si="11"/>
        <v>3.0633402682403903E-3</v>
      </c>
      <c r="M24">
        <f>'Behind the scenes'!A24*EXP(-K24*B24)</f>
        <v>0</v>
      </c>
      <c r="N24">
        <f>'Behind the scenes'!A24*(K24/(L24-K24)*(EXP(-K24*B24)-EXP(-L24*B24)))</f>
        <v>0</v>
      </c>
      <c r="O24">
        <f>IF('Display '!E22&lt;0,(IF(Q$13+'Display '!E22&gt;0,Q$13+'Display '!E22,0)),Q$13)</f>
        <v>10</v>
      </c>
      <c r="P24" s="2">
        <f t="shared" si="13"/>
        <v>5.0950314694365841E-3</v>
      </c>
      <c r="Q24" s="2">
        <f t="shared" si="12"/>
        <v>1.0318493893589683E-3</v>
      </c>
      <c r="R24">
        <f t="shared" si="14"/>
        <v>0</v>
      </c>
      <c r="S24">
        <f t="shared" si="15"/>
        <v>0</v>
      </c>
      <c r="T24">
        <f>IF('Display '!E22+Q$13&lt;0,'Display '!E22+Q$13+V$13,V$13)</f>
        <v>20</v>
      </c>
      <c r="U24">
        <f t="shared" si="16"/>
        <v>1.7165183574911294E-3</v>
      </c>
      <c r="V24">
        <f t="shared" si="17"/>
        <v>8.0341088769956713E-5</v>
      </c>
      <c r="W24">
        <f t="shared" si="18"/>
        <v>0</v>
      </c>
      <c r="X24">
        <f t="shared" si="19"/>
        <v>0</v>
      </c>
      <c r="Y24">
        <f t="shared" si="20"/>
        <v>2.3382547426837311E-4</v>
      </c>
      <c r="Z24">
        <f t="shared" si="21"/>
        <v>3.4309858265616298E-5</v>
      </c>
      <c r="AA24">
        <f t="shared" si="22"/>
        <v>0</v>
      </c>
      <c r="AB24">
        <f t="shared" si="23"/>
        <v>0</v>
      </c>
      <c r="AC24">
        <f t="shared" si="24"/>
        <v>5.0376547678336765E-4</v>
      </c>
      <c r="AD24">
        <f t="shared" si="25"/>
        <v>8.0341088769956713E-5</v>
      </c>
      <c r="AE24">
        <f t="shared" si="26"/>
        <v>0</v>
      </c>
      <c r="AF24">
        <f t="shared" si="27"/>
        <v>0</v>
      </c>
    </row>
    <row r="25" spans="1:32" x14ac:dyDescent="0.25">
      <c r="N25">
        <f>SUM(N15:N24)</f>
        <v>501.30519673277871</v>
      </c>
      <c r="S25">
        <f>SUM(S15:S24)</f>
        <v>718.56336879191622</v>
      </c>
      <c r="AB25">
        <f>SUM(AB15:AB24)</f>
        <v>1011.8324443727122</v>
      </c>
      <c r="AF25">
        <f>SUM(AF15:AF24)</f>
        <v>1071.3899806690713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Display </vt:lpstr>
      <vt:lpstr>Sheet1</vt:lpstr>
      <vt:lpstr>Notes</vt:lpstr>
      <vt:lpstr>Behind the scenes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2016-07-24T13:18:19Z</dcterms:created>
  <dcterms:modified xsi:type="dcterms:W3CDTF">2017-01-13T07:28:33Z</dcterms:modified>
</cp:coreProperties>
</file>